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FGI-Calculator-Pond-Leakage-2017-3-30-17\"/>
    </mc:Choice>
  </mc:AlternateContent>
  <xr:revisionPtr revIDLastSave="0" documentId="13_ncr:1_{B9F0E6A5-1328-434E-A8A4-8DAA97D45A51}" xr6:coauthVersionLast="45" xr6:coauthVersionMax="45" xr10:uidLastSave="{00000000-0000-0000-0000-000000000000}"/>
  <bookViews>
    <workbookView xWindow="-103" yWindow="-103" windowWidth="22149" windowHeight="13320" xr2:uid="{00000000-000D-0000-FFFF-FFFF00000000}"/>
  </bookViews>
  <sheets>
    <sheet name="metric" sheetId="3"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26" i="3" l="1"/>
  <c r="O26" i="3"/>
  <c r="I36" i="3" l="1"/>
  <c r="I33" i="3" l="1"/>
  <c r="B11" i="3"/>
  <c r="D30" i="3"/>
  <c r="D29" i="3"/>
  <c r="D27" i="3"/>
  <c r="I30" i="3" l="1"/>
  <c r="B16" i="3"/>
  <c r="D37" i="3" l="1"/>
  <c r="N20" i="3" s="1"/>
  <c r="N19" i="3"/>
  <c r="D35" i="3"/>
  <c r="I28" i="3" l="1"/>
  <c r="P25" i="3"/>
  <c r="Q15" i="3" s="1"/>
  <c r="R15" i="3"/>
  <c r="P22" i="3"/>
  <c r="P24" i="3"/>
  <c r="P23" i="3"/>
  <c r="O15" i="3" s="1"/>
  <c r="O23" i="3"/>
  <c r="O13" i="3" s="1"/>
  <c r="O24" i="3"/>
  <c r="P13" i="3" s="1"/>
  <c r="O25" i="3"/>
  <c r="Q13" i="3" s="1"/>
  <c r="R13" i="3"/>
  <c r="O22" i="3"/>
  <c r="Q22" i="3" s="1"/>
  <c r="N24" i="3"/>
  <c r="I27" i="3"/>
  <c r="N26" i="3"/>
  <c r="N23" i="3"/>
  <c r="N25" i="3"/>
  <c r="N22" i="3"/>
  <c r="I29" i="3" l="1"/>
  <c r="I34" i="3" s="1"/>
  <c r="R25" i="3"/>
  <c r="Q23" i="3"/>
  <c r="Q26" i="3"/>
  <c r="R26" i="3"/>
  <c r="R23" i="3"/>
  <c r="Q25" i="3"/>
  <c r="P14" i="3"/>
  <c r="P12" i="3"/>
  <c r="O12" i="3"/>
  <c r="O14" i="3"/>
  <c r="Q24" i="3"/>
  <c r="P15" i="3"/>
  <c r="R24" i="3"/>
  <c r="N13" i="3"/>
  <c r="R22" i="3"/>
  <c r="N15" i="3"/>
  <c r="R12" i="3"/>
  <c r="R14" i="3"/>
  <c r="Q14" i="3"/>
  <c r="Q12" i="3"/>
  <c r="I37" i="3" l="1"/>
  <c r="B15" i="3" s="1"/>
  <c r="B18" i="3" s="1"/>
  <c r="B14" i="3"/>
  <c r="B17" i="3" s="1"/>
  <c r="R11" i="3"/>
  <c r="P11" i="3"/>
  <c r="Q11" i="3"/>
  <c r="O11" i="3"/>
  <c r="N12" i="3"/>
  <c r="N14" i="3"/>
  <c r="Q10" i="3" l="1"/>
  <c r="P10" i="3"/>
  <c r="O10" i="3"/>
  <c r="N11" i="3"/>
  <c r="R10" i="3"/>
  <c r="N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tc={D7A099F0-67FB-BC40-A460-B3996C6C5E3F}</author>
  </authors>
  <commentList>
    <comment ref="D36" authorId="0" shapeId="0" xr:uid="{D7A099F0-67FB-BC40-A460-B3996C6C5E3F}">
      <text>
        <t xml:space="preserve">[Threaded comment]
Your version of Excel allows you to read this threaded comment; however, any edits to it will get removed if the file is opened in a newer version of Excel. Learn more: https://go.microsoft.com/fwlink/?linkid=870924
Comment:
    Updated the units to cm. The thickness used here is 2.5 mm, so 0.25 cm
</t>
      </text>
    </comment>
  </commentList>
</comments>
</file>

<file path=xl/sharedStrings.xml><?xml version="1.0" encoding="utf-8"?>
<sst xmlns="http://schemas.openxmlformats.org/spreadsheetml/2006/main" count="137" uniqueCount="94">
  <si>
    <t>Input Parameters</t>
  </si>
  <si>
    <t>H</t>
  </si>
  <si>
    <t>=</t>
  </si>
  <si>
    <t>:</t>
  </si>
  <si>
    <t>V</t>
  </si>
  <si>
    <t>cm/sec</t>
  </si>
  <si>
    <t>Geomembrane</t>
  </si>
  <si>
    <t>Calculations</t>
  </si>
  <si>
    <t>Hydraulic Gradient, i</t>
  </si>
  <si>
    <t>Depth</t>
  </si>
  <si>
    <t>Material Properties</t>
  </si>
  <si>
    <t>Hydraulic Conductivity (cm/sec)</t>
  </si>
  <si>
    <t>Pond Geometry</t>
  </si>
  <si>
    <t>Side Slope Geometry</t>
  </si>
  <si>
    <t>Pond Freeboard</t>
  </si>
  <si>
    <t>Area of Pond Bottom</t>
  </si>
  <si>
    <t>Area of Four Sideslopes</t>
  </si>
  <si>
    <t>Total Leakage Area</t>
  </si>
  <si>
    <t>Leakage Rate, q</t>
  </si>
  <si>
    <t>1 x 10-14 Geomembrane</t>
  </si>
  <si>
    <t>Leakage Rate Calculator from a Water Pond</t>
  </si>
  <si>
    <t>Water Below Pond Surface</t>
  </si>
  <si>
    <t>Thickness</t>
  </si>
  <si>
    <t>Total Volume of Pond</t>
  </si>
  <si>
    <t>Input Parameters</t>
    <phoneticPr fontId="10" type="noConversion"/>
  </si>
  <si>
    <t>Calculated Results</t>
  </si>
  <si>
    <t>Compacted Soil Liner</t>
  </si>
  <si>
    <t>STEP FOUR (Plot and Comparison)</t>
  </si>
  <si>
    <t>STEP TWO (Detailed Information)</t>
  </si>
  <si>
    <t>Pond Depth,</t>
  </si>
  <si>
    <t>STEP THREE (Typical Leakage Rates)</t>
  </si>
  <si>
    <t>STEP ONE (General Calculations &amp; Summary)</t>
  </si>
  <si>
    <t>Total/overall volume of the pond is:</t>
  </si>
  <si>
    <t>Leakage through the compacted soil liner is:</t>
  </si>
  <si>
    <t>with a compacted soil hydraulic conductivity of *</t>
    <phoneticPr fontId="10" type="noConversion"/>
  </si>
  <si>
    <t>Leakage through a geomembrane is ONLY:</t>
    <phoneticPr fontId="10" type="noConversion"/>
  </si>
  <si>
    <t>**Geomembrane hydraulic conductivty ranges from 1x10-10 to 1x10-14 cm/sec for typical products based on vapor transmission testing</t>
  </si>
  <si>
    <t>University of Illinios at Urbana-Champaign</t>
  </si>
  <si>
    <t>Explanation of Calculations</t>
  </si>
  <si>
    <t>By: Timothy D. Stark, Ph.D., P.E., D.GE, F.ASCE</t>
  </si>
  <si>
    <t>The shape of the water pond is a right frustum, which leads to the total volume calculation of:  Volume = Surface Area at Top+Surface Area at Bottom)/2*Height.</t>
  </si>
  <si>
    <t xml:space="preserve">The leakage rate (q) from the pond is calculated using Darcy's Law:  q=k*(h/L)*A.  A constant-head seepage condition is assumed, which means the pond level does not change during the length of ponding or seepage.  The pond level, or total head causing seepage (h), is the depth of pond minus the free board, i.e., (D-FB).  L is the thickness of the geomembrane or compacted soil liner and A is the contact area of seepage (A) is the five areas mentioned above, i.e., (Area of the pond base + Area of four sides).  k is the hydraulic conductivity of the geomembrane or compacted soil liner and q is the leakage rate as a function of time.   The leakage rate can be converted to leakge volume by multiplying q by a certain time period to estimate the leakage in gallons or cubic feet. </t>
  </si>
  <si>
    <t>=</t>
    <phoneticPr fontId="10" type="noConversion"/>
  </si>
  <si>
    <t>1 x 10-4-Compacted Soil</t>
  </si>
  <si>
    <t>1 x 10-5-Compacted Soil</t>
  </si>
  <si>
    <t>1 x 10-6-Compacted Soil</t>
  </si>
  <si>
    <t>1 x 10-7-Compacted Soil</t>
  </si>
  <si>
    <t>1 x 10-8-Compacted Soil</t>
  </si>
  <si>
    <t>Money Loss for Geomembrane (US Dollar/Day)</t>
  </si>
  <si>
    <t>Compacted Soil</t>
  </si>
  <si>
    <t>Water can leak through these five areas.</t>
  </si>
  <si>
    <t xml:space="preserve">The contact area between the water and the pond bottom, i.e., top of geomembrane or compacted soil liner/geomembrane, consists of the area at the base of the pond and on the four sides.  </t>
  </si>
  <si>
    <t xml:space="preserve">Cost of water is: </t>
  </si>
  <si>
    <t>Lost Money due to Compacted Soil Leakage:</t>
  </si>
  <si>
    <t>Lost Money due to Geomembrane Leakage:</t>
  </si>
  <si>
    <t>$/year</t>
  </si>
  <si>
    <t>Pond Top Length</t>
  </si>
  <si>
    <t>Pond Top Width</t>
  </si>
  <si>
    <t>Compacted Soil Liner Hydraulic Conductivity</t>
  </si>
  <si>
    <t>Geomembrane Hydraulic Conductivity</t>
  </si>
  <si>
    <r>
      <t>cm</t>
    </r>
    <r>
      <rPr>
        <vertAlign val="superscript"/>
        <sz val="18"/>
        <color theme="1"/>
        <rFont val="Calibri"/>
        <family val="2"/>
        <scheme val="minor"/>
      </rPr>
      <t>2</t>
    </r>
  </si>
  <si>
    <r>
      <t>cm</t>
    </r>
    <r>
      <rPr>
        <vertAlign val="superscript"/>
        <sz val="18"/>
        <color theme="1"/>
        <rFont val="Calibri"/>
        <family val="2"/>
        <scheme val="minor"/>
      </rPr>
      <t>3</t>
    </r>
  </si>
  <si>
    <t>Notes</t>
  </si>
  <si>
    <t>and a geomembrane hydraulic conductivity of **</t>
  </si>
  <si>
    <t>Fabricated Geomembrane Institute</t>
  </si>
  <si>
    <t>Hydraulic Conductivity, k</t>
  </si>
  <si>
    <t>Leakage Rate No Defects, q</t>
  </si>
  <si>
    <t>m</t>
  </si>
  <si>
    <r>
      <t>m</t>
    </r>
    <r>
      <rPr>
        <b/>
        <vertAlign val="superscript"/>
        <sz val="20"/>
        <color rgb="FF3F3F3F"/>
        <rFont val="Calibri"/>
        <family val="2"/>
        <scheme val="minor"/>
      </rPr>
      <t>3</t>
    </r>
  </si>
  <si>
    <r>
      <t>m</t>
    </r>
    <r>
      <rPr>
        <b/>
        <vertAlign val="superscript"/>
        <sz val="20"/>
        <color rgb="FFFA7D00"/>
        <rFont val="Calibri"/>
        <family val="2"/>
        <scheme val="minor"/>
      </rPr>
      <t>3</t>
    </r>
    <r>
      <rPr>
        <b/>
        <sz val="20"/>
        <color rgb="FFFA7D00"/>
        <rFont val="Calibri"/>
        <family val="2"/>
        <scheme val="minor"/>
      </rPr>
      <t>/day</t>
    </r>
  </si>
  <si>
    <r>
      <t>m</t>
    </r>
    <r>
      <rPr>
        <b/>
        <vertAlign val="superscript"/>
        <sz val="20"/>
        <color rgb="FFFA7D00"/>
        <rFont val="Calibri"/>
        <family val="2"/>
        <scheme val="minor"/>
      </rPr>
      <t>2</t>
    </r>
  </si>
  <si>
    <r>
      <t>m</t>
    </r>
    <r>
      <rPr>
        <b/>
        <vertAlign val="superscript"/>
        <sz val="20"/>
        <color rgb="FFFA7D00"/>
        <rFont val="Calibri"/>
        <family val="2"/>
        <scheme val="minor"/>
      </rPr>
      <t>3</t>
    </r>
  </si>
  <si>
    <r>
      <t>m</t>
    </r>
    <r>
      <rPr>
        <b/>
        <vertAlign val="superscript"/>
        <sz val="20"/>
        <color rgb="FF3F3F3F"/>
        <rFont val="Calibri"/>
        <family val="2"/>
        <scheme val="minor"/>
      </rPr>
      <t>3</t>
    </r>
    <r>
      <rPr>
        <b/>
        <sz val="20"/>
        <color rgb="FF3F3F3F"/>
        <rFont val="Calibri"/>
        <family val="2"/>
        <scheme val="minor"/>
      </rPr>
      <t>/day</t>
    </r>
  </si>
  <si>
    <t>Volume of Pond (m3)</t>
  </si>
  <si>
    <t>Depth (m)</t>
  </si>
  <si>
    <t>cm</t>
  </si>
  <si>
    <t>Leakage for Soil Liner (m3/Day)</t>
  </si>
  <si>
    <t>Leakage for Geomembrane (m3/Day)</t>
  </si>
  <si>
    <t>/acre-m</t>
  </si>
  <si>
    <t>acre-m</t>
  </si>
  <si>
    <r>
      <t>m</t>
    </r>
    <r>
      <rPr>
        <vertAlign val="superscript"/>
        <sz val="18"/>
        <color theme="1"/>
        <rFont val="Calibri"/>
        <family val="2"/>
        <scheme val="minor"/>
      </rPr>
      <t>3</t>
    </r>
  </si>
  <si>
    <r>
      <t>m</t>
    </r>
    <r>
      <rPr>
        <vertAlign val="superscript"/>
        <sz val="18"/>
        <color theme="1"/>
        <rFont val="Calibri"/>
        <family val="2"/>
        <scheme val="minor"/>
      </rPr>
      <t>2</t>
    </r>
  </si>
  <si>
    <t>1.5 m depth</t>
  </si>
  <si>
    <t>3.0 m depth</t>
  </si>
  <si>
    <t>4.5 m depth</t>
  </si>
  <si>
    <t>5.0 m depth</t>
  </si>
  <si>
    <t>7.5 m depth</t>
  </si>
  <si>
    <t xml:space="preserve">Typical Leakage Rates (m3/day) For Slope 3H:1V </t>
  </si>
  <si>
    <t xml:space="preserve">cm </t>
  </si>
  <si>
    <r>
      <t xml:space="preserve">For a pond with the following dimensions: </t>
    </r>
    <r>
      <rPr>
        <b/>
        <u/>
        <sz val="20"/>
        <color rgb="FF3F3F3F"/>
        <rFont val="Calibri (Cuerpo)"/>
      </rPr>
      <t>Top</t>
    </r>
    <r>
      <rPr>
        <b/>
        <sz val="20"/>
        <color rgb="FF3F3F3F"/>
        <rFont val="Calibri"/>
        <family val="2"/>
        <scheme val="minor"/>
      </rPr>
      <t xml:space="preserve"> Width</t>
    </r>
  </si>
  <si>
    <r>
      <t xml:space="preserve">Pond </t>
    </r>
    <r>
      <rPr>
        <b/>
        <u/>
        <sz val="20"/>
        <color rgb="FF3F3F3F"/>
        <rFont val="Calibri (Cuerpo)"/>
      </rPr>
      <t>Top</t>
    </r>
    <r>
      <rPr>
        <b/>
        <sz val="20"/>
        <color rgb="FF3F3F3F"/>
        <rFont val="Calibri"/>
        <family val="2"/>
        <scheme val="minor"/>
      </rPr>
      <t xml:space="preserve"> Length</t>
    </r>
  </si>
  <si>
    <t>Pond Leakage Calculator - November 2020</t>
  </si>
  <si>
    <t>Money Loss for Soil Liner (US Dollar/Day)</t>
  </si>
  <si>
    <r>
      <rPr>
        <b/>
        <sz val="16"/>
        <color theme="1"/>
        <rFont val="Calibri"/>
        <family val="2"/>
        <scheme val="minor"/>
      </rPr>
      <t>NOTES:</t>
    </r>
    <r>
      <rPr>
        <b/>
        <sz val="11"/>
        <color theme="1"/>
        <rFont val="Calibri"/>
        <family val="2"/>
        <scheme val="minor"/>
      </rPr>
      <t xml:space="preserve">   </t>
    </r>
    <r>
      <rPr>
        <b/>
        <sz val="16"/>
        <color theme="1"/>
        <rFont val="Calibri"/>
        <family val="2"/>
        <scheme val="minor"/>
      </rPr>
      <t xml:space="preserve"> *Compacted soil hydraulic conductivty is 1x10-7 cm/sec based on Subtitles D and C landfill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</si>
</sst>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_-;\-* #,##0.00_-;_-* &quot;-&quot;??_-;_-@_-"/>
    <numFmt numFmtId="165" formatCode="0.00000"/>
    <numFmt numFmtId="166" formatCode="_(* #,##0.0_);_(* \(#,##0.0\);_(* &quot;-&quot;??_);_(@_)"/>
    <numFmt numFmtId="167" formatCode="&quot;US$&quot;#,##0.00"/>
    <numFmt numFmtId="168" formatCode="#,##0.0"/>
    <numFmt numFmtId="169" formatCode="0.00000000"/>
    <numFmt numFmtId="172" formatCode="#,##0.0000000"/>
    <numFmt numFmtId="173" formatCode="_(* #,##0.00000000_);_(* \(#,##0.00000000\);_(* &quot;-&quot;??_);_(@_)"/>
    <numFmt numFmtId="174" formatCode="#,##0.00000000"/>
    <numFmt numFmtId="175" formatCode="0.0"/>
    <numFmt numFmtId="176" formatCode="&quot;$&quot;#,##0.00"/>
  </numFmts>
  <fonts count="4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20"/>
      <color theme="1"/>
      <name val="Calibri"/>
      <family val="2"/>
      <scheme val="minor"/>
    </font>
    <font>
      <b/>
      <sz val="14"/>
      <color rgb="FFFA7D00"/>
      <name val="Calibri"/>
      <family val="2"/>
      <scheme val="minor"/>
    </font>
    <font>
      <b/>
      <sz val="14"/>
      <color rgb="FF9C0006"/>
      <name val="Calibri"/>
      <family val="2"/>
      <scheme val="minor"/>
    </font>
    <font>
      <sz val="9"/>
      <name val="Calibri"/>
      <family val="2"/>
      <scheme val="minor"/>
    </font>
    <font>
      <b/>
      <sz val="11"/>
      <color rgb="FF3F3F3F"/>
      <name val="Calibri"/>
      <family val="2"/>
      <scheme val="minor"/>
    </font>
    <font>
      <b/>
      <sz val="12"/>
      <color rgb="FF3F3F3F"/>
      <name val="Calibri"/>
      <family val="2"/>
      <scheme val="minor"/>
    </font>
    <font>
      <b/>
      <sz val="11"/>
      <color theme="1"/>
      <name val="Calibri"/>
      <family val="2"/>
      <scheme val="minor"/>
    </font>
    <font>
      <b/>
      <sz val="14"/>
      <color rgb="FF3F3F3F"/>
      <name val="Calibri"/>
      <family val="2"/>
      <scheme val="minor"/>
    </font>
    <font>
      <b/>
      <sz val="14"/>
      <color theme="1"/>
      <name val="Calibri"/>
      <family val="2"/>
      <scheme val="minor"/>
    </font>
    <font>
      <sz val="16"/>
      <color theme="1"/>
      <name val="Times New Roman"/>
      <family val="1"/>
    </font>
    <font>
      <b/>
      <sz val="16"/>
      <color rgb="FF3F3F3F"/>
      <name val="Calibri"/>
      <family val="2"/>
      <scheme val="minor"/>
    </font>
    <font>
      <b/>
      <sz val="20"/>
      <color rgb="FF3F3F3F"/>
      <name val="Calibri"/>
      <family val="2"/>
      <scheme val="minor"/>
    </font>
    <font>
      <sz val="20"/>
      <color theme="0"/>
      <name val="Calibri"/>
      <family val="2"/>
      <scheme val="minor"/>
    </font>
    <font>
      <sz val="20"/>
      <color rgb="FF006100"/>
      <name val="Calibri"/>
      <family val="2"/>
      <scheme val="minor"/>
    </font>
    <font>
      <b/>
      <sz val="20"/>
      <color rgb="FF3F3F76"/>
      <name val="Calibri"/>
      <family val="2"/>
      <scheme val="minor"/>
    </font>
    <font>
      <b/>
      <sz val="20"/>
      <color rgb="FF9C0006"/>
      <name val="Calibri"/>
      <family val="2"/>
      <scheme val="minor"/>
    </font>
    <font>
      <b/>
      <i/>
      <u/>
      <sz val="20"/>
      <color rgb="FFFF0000"/>
      <name val="Calibri"/>
      <family val="2"/>
      <scheme val="minor"/>
    </font>
    <font>
      <sz val="20"/>
      <color rgb="FF3F3F76"/>
      <name val="Calibri"/>
      <family val="2"/>
      <scheme val="minor"/>
    </font>
    <font>
      <b/>
      <sz val="20"/>
      <color rgb="FFFA7D00"/>
      <name val="Calibri"/>
      <family val="2"/>
      <scheme val="minor"/>
    </font>
    <font>
      <b/>
      <vertAlign val="superscript"/>
      <sz val="20"/>
      <color rgb="FFFA7D00"/>
      <name val="Calibri"/>
      <family val="2"/>
      <scheme val="minor"/>
    </font>
    <font>
      <sz val="16"/>
      <color theme="1"/>
      <name val="Calibri"/>
      <family val="2"/>
      <scheme val="minor"/>
    </font>
    <font>
      <sz val="18"/>
      <color theme="1"/>
      <name val="Calibri"/>
      <family val="2"/>
      <scheme val="minor"/>
    </font>
    <font>
      <b/>
      <u/>
      <sz val="20"/>
      <color theme="1"/>
      <name val="Calibri"/>
      <family val="2"/>
      <scheme val="minor"/>
    </font>
    <font>
      <vertAlign val="superscript"/>
      <sz val="18"/>
      <color theme="1"/>
      <name val="Calibri"/>
      <family val="2"/>
      <scheme val="minor"/>
    </font>
    <font>
      <b/>
      <sz val="22"/>
      <color theme="1"/>
      <name val="Calibri"/>
      <family val="2"/>
      <scheme val="minor"/>
    </font>
    <font>
      <b/>
      <sz val="22"/>
      <color rgb="FFFA7D00"/>
      <name val="Calibri"/>
      <family val="2"/>
      <scheme val="minor"/>
    </font>
    <font>
      <b/>
      <u/>
      <sz val="20"/>
      <color rgb="FF0070C0"/>
      <name val="Calibri"/>
      <family val="2"/>
      <scheme val="minor"/>
    </font>
    <font>
      <b/>
      <vertAlign val="superscript"/>
      <sz val="20"/>
      <color rgb="FF3F3F3F"/>
      <name val="Calibri"/>
      <family val="2"/>
      <scheme val="minor"/>
    </font>
    <font>
      <sz val="20"/>
      <color rgb="FFFF0000"/>
      <name val="Calibri"/>
      <family val="2"/>
      <scheme val="minor"/>
    </font>
    <font>
      <b/>
      <u/>
      <sz val="20"/>
      <color rgb="FF3F3F3F"/>
      <name val="Calibri (Cuerpo)"/>
    </font>
    <font>
      <b/>
      <sz val="16"/>
      <color theme="1"/>
      <name val="Calibri"/>
      <family val="2"/>
      <scheme val="minor"/>
    </font>
    <font>
      <sz val="22"/>
      <color theme="0"/>
      <name val="Calibri"/>
      <family val="2"/>
      <scheme val="minor"/>
    </font>
    <font>
      <sz val="22"/>
      <color rgb="FF006100"/>
      <name val="Calibri"/>
      <family val="2"/>
      <scheme val="minor"/>
    </font>
    <font>
      <sz val="24"/>
      <color theme="1"/>
      <name val="Calibri"/>
      <family val="2"/>
      <scheme val="minor"/>
    </font>
    <font>
      <sz val="24"/>
      <color theme="0"/>
      <name val="Calibri"/>
      <family val="2"/>
      <scheme val="minor"/>
    </font>
    <font>
      <u/>
      <sz val="24"/>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ck">
        <color auto="1"/>
      </left>
      <right style="thin">
        <color rgb="FF7F7F7F"/>
      </right>
      <top style="thin">
        <color rgb="FF7F7F7F"/>
      </top>
      <bottom style="thin">
        <color rgb="FF7F7F7F"/>
      </bottom>
      <diagonal/>
    </border>
    <border>
      <left style="thin">
        <color rgb="FF7F7F7F"/>
      </left>
      <right style="thick">
        <color auto="1"/>
      </right>
      <top style="thin">
        <color rgb="FF7F7F7F"/>
      </top>
      <bottom style="thin">
        <color rgb="FF7F7F7F"/>
      </bottom>
      <diagonal/>
    </border>
    <border>
      <left style="thick">
        <color auto="1"/>
      </left>
      <right style="thin">
        <color rgb="FF7F7F7F"/>
      </right>
      <top style="thin">
        <color rgb="FF7F7F7F"/>
      </top>
      <bottom style="thick">
        <color auto="1"/>
      </bottom>
      <diagonal/>
    </border>
    <border>
      <left style="thin">
        <color rgb="FF7F7F7F"/>
      </left>
      <right style="thin">
        <color rgb="FF7F7F7F"/>
      </right>
      <top style="thin">
        <color rgb="FF7F7F7F"/>
      </top>
      <bottom style="thick">
        <color auto="1"/>
      </bottom>
      <diagonal/>
    </border>
    <border>
      <left style="thin">
        <color rgb="FF7F7F7F"/>
      </left>
      <right style="thick">
        <color auto="1"/>
      </right>
      <top style="thin">
        <color rgb="FF7F7F7F"/>
      </top>
      <bottom style="thick">
        <color auto="1"/>
      </bottom>
      <diagonal/>
    </border>
    <border>
      <left style="thin">
        <color rgb="FF7F7F7F"/>
      </left>
      <right style="thin">
        <color rgb="FF7F7F7F"/>
      </right>
      <top/>
      <bottom style="thin">
        <color rgb="FF7F7F7F"/>
      </bottom>
      <diagonal/>
    </border>
    <border>
      <left style="thin">
        <color rgb="FF7F7F7F"/>
      </left>
      <right style="thick">
        <color auto="1"/>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7F7F7F"/>
      </right>
      <top/>
      <bottom style="thin">
        <color rgb="FF7F7F7F"/>
      </bottom>
      <diagonal/>
    </border>
    <border>
      <left style="thin">
        <color rgb="FF7F7F7F"/>
      </left>
      <right style="thin">
        <color rgb="FF7F7F7F"/>
      </right>
      <top style="thick">
        <color auto="1"/>
      </top>
      <bottom style="thin">
        <color rgb="FF7F7F7F"/>
      </bottom>
      <diagonal/>
    </border>
    <border>
      <left style="thin">
        <color rgb="FF7F7F7F"/>
      </left>
      <right style="thick">
        <color auto="1"/>
      </right>
      <top style="thick">
        <color auto="1"/>
      </top>
      <bottom style="thin">
        <color rgb="FF7F7F7F"/>
      </bottom>
      <diagonal/>
    </border>
    <border>
      <left/>
      <right style="thin">
        <color rgb="FF7F7F7F"/>
      </right>
      <top style="thin">
        <color rgb="FF7F7F7F"/>
      </top>
      <bottom style="thick">
        <color auto="1"/>
      </bottom>
      <diagonal/>
    </border>
    <border>
      <left/>
      <right style="thin">
        <color rgb="FF7F7F7F"/>
      </right>
      <top style="thick">
        <color auto="1"/>
      </top>
      <bottom style="thin">
        <color rgb="FF7F7F7F"/>
      </bottom>
      <diagonal/>
    </border>
    <border>
      <left style="thick">
        <color auto="1"/>
      </left>
      <right style="thick">
        <color auto="1"/>
      </right>
      <top style="thick">
        <color auto="1"/>
      </top>
      <bottom style="thin">
        <color rgb="FF7F7F7F"/>
      </bottom>
      <diagonal/>
    </border>
    <border>
      <left style="thick">
        <color auto="1"/>
      </left>
      <right style="thick">
        <color auto="1"/>
      </right>
      <top style="thin">
        <color rgb="FF7F7F7F"/>
      </top>
      <bottom style="thin">
        <color rgb="FF7F7F7F"/>
      </bottom>
      <diagonal/>
    </border>
    <border>
      <left style="thick">
        <color auto="1"/>
      </left>
      <right style="thick">
        <color auto="1"/>
      </right>
      <top style="thin">
        <color rgb="FF7F7F7F"/>
      </top>
      <bottom style="thick">
        <color auto="1"/>
      </bottom>
      <diagonal/>
    </border>
    <border>
      <left style="thin">
        <color rgb="FF7F7F7F"/>
      </left>
      <right style="thin">
        <color rgb="FF7F7F7F"/>
      </right>
      <top style="thin">
        <color rgb="FF7F7F7F"/>
      </top>
      <bottom/>
      <diagonal/>
    </border>
    <border>
      <left style="thin">
        <color rgb="FF7F7F7F"/>
      </left>
      <right style="thick">
        <color auto="1"/>
      </right>
      <top style="thin">
        <color rgb="FF7F7F7F"/>
      </top>
      <bottom/>
      <diagonal/>
    </border>
    <border>
      <left style="thick">
        <color auto="1"/>
      </left>
      <right/>
      <top style="thick">
        <color auto="1"/>
      </top>
      <bottom style="thin">
        <color rgb="FF7F7F7F"/>
      </bottom>
      <diagonal/>
    </border>
    <border>
      <left/>
      <right/>
      <top style="thick">
        <color auto="1"/>
      </top>
      <bottom style="thin">
        <color rgb="FF7F7F7F"/>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3F3F3F"/>
      </left>
      <right style="thin">
        <color rgb="FF3F3F3F"/>
      </right>
      <top style="thin">
        <color rgb="FF3F3F3F"/>
      </top>
      <bottom style="thin">
        <color rgb="FF3F3F3F"/>
      </bottom>
      <diagonal/>
    </border>
    <border>
      <left/>
      <right/>
      <top/>
      <bottom style="thick">
        <color rgb="FF3F3F3F"/>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n">
        <color auto="1"/>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1" applyNumberFormat="0" applyAlignment="0" applyProtection="0"/>
    <xf numFmtId="0" fontId="1" fillId="6" borderId="2" applyNumberFormat="0" applyFont="0" applyAlignment="0" applyProtection="0"/>
    <xf numFmtId="0" fontId="6" fillId="7" borderId="0" applyNumberFormat="0" applyBorder="0" applyAlignment="0" applyProtection="0"/>
    <xf numFmtId="0" fontId="11" fillId="5" borderId="36" applyNumberFormat="0" applyAlignment="0" applyProtection="0"/>
    <xf numFmtId="43" fontId="1" fillId="0" borderId="0" applyFont="0" applyFill="0" applyBorder="0" applyAlignment="0" applyProtection="0"/>
  </cellStyleXfs>
  <cellXfs count="148">
    <xf numFmtId="0" fontId="0" fillId="0" borderId="0" xfId="0"/>
    <xf numFmtId="0" fontId="0" fillId="0" borderId="0" xfId="0" applyAlignment="1"/>
    <xf numFmtId="0" fontId="0" fillId="0" borderId="0" xfId="0" applyAlignment="1">
      <alignment horizontal="center"/>
    </xf>
    <xf numFmtId="0" fontId="13" fillId="0" borderId="0" xfId="0" applyFont="1"/>
    <xf numFmtId="0" fontId="14" fillId="8" borderId="45" xfId="7" applyFont="1" applyFill="1" applyBorder="1" applyAlignment="1">
      <alignment horizontal="left" vertical="center"/>
    </xf>
    <xf numFmtId="0" fontId="14" fillId="8" borderId="0" xfId="7" applyFont="1" applyFill="1" applyBorder="1" applyAlignment="1">
      <alignment horizontal="left" vertical="center"/>
    </xf>
    <xf numFmtId="0" fontId="9" fillId="3" borderId="13" xfId="2" applyFont="1" applyBorder="1" applyAlignment="1">
      <alignment horizontal="center"/>
    </xf>
    <xf numFmtId="0" fontId="9" fillId="3" borderId="14" xfId="2" applyFont="1" applyBorder="1" applyAlignment="1">
      <alignment horizontal="center"/>
    </xf>
    <xf numFmtId="0" fontId="15" fillId="0" borderId="0" xfId="0" applyFont="1"/>
    <xf numFmtId="0" fontId="17" fillId="8" borderId="45" xfId="7" applyFont="1" applyFill="1" applyBorder="1" applyAlignment="1">
      <alignment horizontal="left" vertical="center"/>
    </xf>
    <xf numFmtId="0" fontId="12" fillId="0" borderId="0" xfId="7" applyFont="1" applyFill="1" applyBorder="1" applyAlignment="1">
      <alignment horizontal="left" vertical="center"/>
    </xf>
    <xf numFmtId="0" fontId="8" fillId="5" borderId="13" xfId="4" applyFont="1" applyBorder="1" applyAlignment="1">
      <alignment horizontal="center"/>
    </xf>
    <xf numFmtId="0" fontId="8" fillId="5" borderId="14" xfId="4" applyFont="1" applyBorder="1" applyAlignment="1">
      <alignment horizontal="center"/>
    </xf>
    <xf numFmtId="0" fontId="18" fillId="5" borderId="39" xfId="7" applyFont="1" applyBorder="1" applyAlignment="1">
      <alignment horizontal="left" vertical="center"/>
    </xf>
    <xf numFmtId="0" fontId="18" fillId="5" borderId="45" xfId="7" applyFont="1" applyBorder="1" applyAlignment="1">
      <alignment horizontal="left" vertical="center"/>
    </xf>
    <xf numFmtId="0" fontId="18" fillId="5" borderId="42" xfId="7" applyFont="1" applyBorder="1" applyAlignment="1">
      <alignment horizontal="left" vertical="center"/>
    </xf>
    <xf numFmtId="0" fontId="18" fillId="5" borderId="38" xfId="7" applyFont="1" applyBorder="1" applyAlignment="1">
      <alignment horizontal="left" vertical="center"/>
    </xf>
    <xf numFmtId="0" fontId="18" fillId="5" borderId="43" xfId="7" applyFont="1" applyBorder="1" applyAlignment="1">
      <alignment horizontal="left" vertical="center"/>
    </xf>
    <xf numFmtId="0" fontId="19" fillId="7" borderId="44" xfId="6" applyFont="1" applyBorder="1" applyAlignment="1">
      <alignment horizontal="center" vertical="center"/>
    </xf>
    <xf numFmtId="166" fontId="20" fillId="2" borderId="0" xfId="8" applyNumberFormat="1" applyFont="1" applyFill="1" applyBorder="1" applyAlignment="1">
      <alignment vertical="center"/>
    </xf>
    <xf numFmtId="11" fontId="19" fillId="7" borderId="0" xfId="6" applyNumberFormat="1" applyFont="1" applyBorder="1" applyAlignment="1">
      <alignment horizontal="center" vertical="center"/>
    </xf>
    <xf numFmtId="167" fontId="19" fillId="7" borderId="0" xfId="6" applyNumberFormat="1" applyFont="1" applyBorder="1" applyAlignment="1">
      <alignment horizontal="center" vertical="center"/>
    </xf>
    <xf numFmtId="168" fontId="20" fillId="2" borderId="47" xfId="1" applyNumberFormat="1" applyFont="1" applyBorder="1" applyAlignment="1">
      <alignment vertical="center"/>
    </xf>
    <xf numFmtId="0" fontId="21" fillId="4" borderId="20" xfId="3" applyFont="1" applyBorder="1" applyAlignment="1">
      <alignment horizontal="center" vertical="center"/>
    </xf>
    <xf numFmtId="0" fontId="21" fillId="4" borderId="21" xfId="3" applyFont="1" applyBorder="1" applyAlignment="1">
      <alignment horizontal="center" vertical="center"/>
    </xf>
    <xf numFmtId="0" fontId="21" fillId="4" borderId="22" xfId="3" applyFont="1" applyBorder="1" applyAlignment="1">
      <alignment horizontal="center" vertical="center"/>
    </xf>
    <xf numFmtId="0" fontId="22" fillId="3" borderId="12" xfId="2" applyFont="1" applyBorder="1" applyAlignment="1">
      <alignment horizontal="center"/>
    </xf>
    <xf numFmtId="0" fontId="21" fillId="4" borderId="20" xfId="3" applyFont="1" applyBorder="1" applyAlignment="1">
      <alignment horizontal="center" vertical="center" wrapText="1"/>
    </xf>
    <xf numFmtId="0" fontId="21" fillId="4" borderId="21" xfId="3" applyFont="1" applyBorder="1" applyAlignment="1">
      <alignment horizontal="center" vertical="center" wrapText="1"/>
    </xf>
    <xf numFmtId="0" fontId="21" fillId="4" borderId="22" xfId="3" applyFont="1" applyBorder="1" applyAlignment="1">
      <alignment horizontal="center" vertical="center" wrapText="1"/>
    </xf>
    <xf numFmtId="0" fontId="21" fillId="4" borderId="12" xfId="3" applyFont="1" applyBorder="1" applyAlignment="1">
      <alignment horizontal="center"/>
    </xf>
    <xf numFmtId="0" fontId="21" fillId="4" borderId="13" xfId="3" applyFont="1" applyBorder="1" applyAlignment="1">
      <alignment horizontal="center"/>
    </xf>
    <xf numFmtId="0" fontId="21" fillId="4" borderId="14" xfId="3" applyFont="1" applyBorder="1" applyAlignment="1">
      <alignment horizontal="center"/>
    </xf>
    <xf numFmtId="0" fontId="24" fillId="4" borderId="15" xfId="3" applyFont="1" applyBorder="1" applyAlignment="1">
      <alignment horizontal="center" vertical="center"/>
    </xf>
    <xf numFmtId="0" fontId="24" fillId="4" borderId="10" xfId="3" applyFont="1" applyBorder="1"/>
    <xf numFmtId="0" fontId="24" fillId="4" borderId="11" xfId="3" applyFont="1" applyBorder="1"/>
    <xf numFmtId="0" fontId="24" fillId="4" borderId="3" xfId="3" applyFont="1" applyBorder="1" applyAlignment="1">
      <alignment horizontal="center" vertical="center"/>
    </xf>
    <xf numFmtId="0" fontId="24" fillId="4" borderId="1" xfId="3" applyFont="1" applyBorder="1"/>
    <xf numFmtId="0" fontId="19" fillId="7" borderId="1" xfId="6" applyFont="1" applyBorder="1" applyAlignment="1">
      <alignment horizontal="center" vertical="center"/>
    </xf>
    <xf numFmtId="0" fontId="24" fillId="4" borderId="6" xfId="3" applyFont="1" applyBorder="1" applyAlignment="1">
      <alignment horizontal="left" vertical="center"/>
    </xf>
    <xf numFmtId="0" fontId="24" fillId="4" borderId="6" xfId="3" applyFont="1" applyBorder="1"/>
    <xf numFmtId="0" fontId="24" fillId="4" borderId="4" xfId="3" applyFont="1" applyBorder="1" applyAlignment="1">
      <alignment horizontal="center" vertical="center"/>
    </xf>
    <xf numFmtId="0" fontId="24" fillId="4" borderId="23" xfId="3" applyFont="1" applyBorder="1"/>
    <xf numFmtId="0" fontId="24" fillId="4" borderId="24" xfId="3" applyFont="1" applyBorder="1"/>
    <xf numFmtId="0" fontId="21" fillId="4" borderId="25" xfId="3" applyFont="1" applyBorder="1" applyAlignment="1">
      <alignment horizontal="center" vertical="center"/>
    </xf>
    <xf numFmtId="0" fontId="21" fillId="4" borderId="26" xfId="3" applyFont="1" applyBorder="1" applyAlignment="1">
      <alignment horizontal="center" vertical="center"/>
    </xf>
    <xf numFmtId="0" fontId="21" fillId="4" borderId="19" xfId="3" applyFont="1" applyBorder="1" applyAlignment="1">
      <alignment horizontal="center" vertical="center"/>
    </xf>
    <xf numFmtId="0" fontId="24" fillId="4" borderId="16" xfId="3" applyFont="1" applyBorder="1"/>
    <xf numFmtId="0" fontId="24" fillId="4" borderId="17" xfId="3" applyFont="1" applyBorder="1"/>
    <xf numFmtId="0" fontId="24" fillId="4" borderId="5" xfId="3" applyFont="1" applyBorder="1" applyAlignment="1">
      <alignment horizontal="center" vertical="center"/>
    </xf>
    <xf numFmtId="0" fontId="24" fillId="4" borderId="1" xfId="3" applyFont="1" applyBorder="1" applyAlignment="1">
      <alignment horizontal="center" vertical="center"/>
    </xf>
    <xf numFmtId="0" fontId="19" fillId="7" borderId="7" xfId="6" applyFont="1" applyBorder="1" applyAlignment="1">
      <alignment horizontal="center" vertical="center"/>
    </xf>
    <xf numFmtId="0" fontId="24" fillId="4" borderId="8" xfId="3" applyFont="1" applyBorder="1"/>
    <xf numFmtId="0" fontId="19" fillId="7" borderId="8" xfId="6" applyFont="1" applyBorder="1" applyAlignment="1">
      <alignment horizontal="center" vertical="center"/>
    </xf>
    <xf numFmtId="0" fontId="24" fillId="4" borderId="9" xfId="3" applyFont="1" applyBorder="1"/>
    <xf numFmtId="0" fontId="24" fillId="4" borderId="19" xfId="3" applyFont="1" applyBorder="1" applyAlignment="1">
      <alignment horizontal="center" vertical="center"/>
    </xf>
    <xf numFmtId="11" fontId="19" fillId="7" borderId="1" xfId="6" applyNumberFormat="1" applyFont="1" applyBorder="1" applyAlignment="1">
      <alignment horizontal="center" vertical="center"/>
    </xf>
    <xf numFmtId="11" fontId="19" fillId="7" borderId="8" xfId="6" applyNumberFormat="1" applyFont="1" applyBorder="1" applyAlignment="1">
      <alignment horizontal="center" vertical="center"/>
    </xf>
    <xf numFmtId="0" fontId="25" fillId="5" borderId="15" xfId="4" applyFont="1" applyBorder="1"/>
    <xf numFmtId="0" fontId="25" fillId="5" borderId="10" xfId="4" applyFont="1" applyBorder="1"/>
    <xf numFmtId="0" fontId="25" fillId="5" borderId="11" xfId="4" applyFont="1" applyBorder="1"/>
    <xf numFmtId="0" fontId="25" fillId="5" borderId="3" xfId="4" applyFont="1" applyBorder="1"/>
    <xf numFmtId="0" fontId="25" fillId="5" borderId="1" xfId="4" applyFont="1" applyBorder="1"/>
    <xf numFmtId="0" fontId="25" fillId="5" borderId="6" xfId="4" applyFont="1" applyBorder="1"/>
    <xf numFmtId="0" fontId="25" fillId="5" borderId="18" xfId="4" applyFont="1" applyBorder="1"/>
    <xf numFmtId="0" fontId="25" fillId="5" borderId="8" xfId="4" applyFont="1" applyBorder="1"/>
    <xf numFmtId="0" fontId="27" fillId="0" borderId="0" xfId="0" applyFont="1"/>
    <xf numFmtId="0" fontId="16" fillId="0" borderId="0" xfId="0" applyFont="1" applyAlignment="1">
      <alignment horizontal="left" vertical="center"/>
    </xf>
    <xf numFmtId="0" fontId="29" fillId="0" borderId="33"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xf>
    <xf numFmtId="4" fontId="7" fillId="0" borderId="31" xfId="8" applyNumberFormat="1" applyFont="1" applyBorder="1" applyAlignment="1">
      <alignment horizontal="center"/>
    </xf>
    <xf numFmtId="4" fontId="7" fillId="0" borderId="46" xfId="8" applyNumberFormat="1" applyFont="1" applyBorder="1" applyAlignment="1">
      <alignment horizontal="center"/>
    </xf>
    <xf numFmtId="4" fontId="7" fillId="0" borderId="27" xfId="8" applyNumberFormat="1" applyFont="1" applyBorder="1" applyAlignment="1">
      <alignment horizontal="center"/>
    </xf>
    <xf numFmtId="4" fontId="7" fillId="0" borderId="28" xfId="8" applyNumberFormat="1" applyFont="1" applyBorder="1" applyAlignment="1">
      <alignment horizontal="center"/>
    </xf>
    <xf numFmtId="0" fontId="7" fillId="0" borderId="35" xfId="0" applyFont="1" applyBorder="1" applyAlignment="1">
      <alignment horizontal="center"/>
    </xf>
    <xf numFmtId="165" fontId="7" fillId="0" borderId="32" xfId="0" applyNumberFormat="1" applyFont="1" applyBorder="1" applyAlignment="1">
      <alignment horizontal="center"/>
    </xf>
    <xf numFmtId="165" fontId="7" fillId="0" borderId="29" xfId="0" applyNumberFormat="1" applyFont="1" applyBorder="1" applyAlignment="1">
      <alignment horizontal="center"/>
    </xf>
    <xf numFmtId="165" fontId="7" fillId="0" borderId="30" xfId="0" applyNumberFormat="1" applyFont="1" applyBorder="1" applyAlignment="1">
      <alignment horizontal="center"/>
    </xf>
    <xf numFmtId="0" fontId="28" fillId="6" borderId="2" xfId="5" applyFont="1"/>
    <xf numFmtId="0" fontId="31" fillId="0" borderId="0" xfId="0" applyFont="1"/>
    <xf numFmtId="0" fontId="27" fillId="0" borderId="0" xfId="0" applyFont="1" applyAlignment="1">
      <alignment horizontal="left"/>
    </xf>
    <xf numFmtId="0" fontId="0" fillId="0" borderId="0" xfId="0" applyAlignment="1">
      <alignment horizontal="left"/>
    </xf>
    <xf numFmtId="0" fontId="32" fillId="5" borderId="12" xfId="4" applyFont="1" applyBorder="1" applyAlignment="1">
      <alignment horizontal="center"/>
    </xf>
    <xf numFmtId="0" fontId="28" fillId="0" borderId="0" xfId="0" applyFont="1"/>
    <xf numFmtId="0" fontId="24" fillId="4" borderId="7" xfId="3" applyFont="1" applyBorder="1" applyAlignment="1">
      <alignment horizontal="center" vertical="center"/>
    </xf>
    <xf numFmtId="168" fontId="25" fillId="5" borderId="10" xfId="4" applyNumberFormat="1" applyFont="1" applyBorder="1"/>
    <xf numFmtId="168" fontId="25" fillId="5" borderId="1" xfId="4" applyNumberFormat="1" applyFont="1" applyBorder="1"/>
    <xf numFmtId="0" fontId="23" fillId="0" borderId="38" xfId="0" applyFont="1" applyBorder="1" applyAlignment="1">
      <alignment horizontal="center"/>
    </xf>
    <xf numFmtId="0" fontId="23" fillId="0" borderId="0" xfId="0" applyFont="1" applyBorder="1" applyAlignment="1">
      <alignment horizontal="center"/>
    </xf>
    <xf numFmtId="0" fontId="16" fillId="0" borderId="0" xfId="0" applyFont="1" applyAlignment="1">
      <alignment horizontal="left" vertical="center" wrapText="1"/>
    </xf>
    <xf numFmtId="0" fontId="33" fillId="5" borderId="3" xfId="4" applyFont="1" applyBorder="1"/>
    <xf numFmtId="11" fontId="28" fillId="6" borderId="2" xfId="5" applyNumberFormat="1" applyFont="1"/>
    <xf numFmtId="0" fontId="35" fillId="9" borderId="35" xfId="0" applyFont="1" applyFill="1" applyBorder="1" applyAlignment="1">
      <alignment horizontal="center"/>
    </xf>
    <xf numFmtId="172" fontId="20" fillId="2" borderId="0" xfId="1" applyNumberFormat="1" applyFont="1" applyBorder="1" applyAlignment="1">
      <alignment vertical="center"/>
    </xf>
    <xf numFmtId="169" fontId="20" fillId="2" borderId="8" xfId="1" applyNumberFormat="1" applyFont="1" applyBorder="1"/>
    <xf numFmtId="173" fontId="20" fillId="2" borderId="0" xfId="8" applyNumberFormat="1" applyFont="1" applyFill="1" applyBorder="1" applyAlignment="1">
      <alignment vertical="center"/>
    </xf>
    <xf numFmtId="164" fontId="0" fillId="0" borderId="0" xfId="0" applyNumberFormat="1"/>
    <xf numFmtId="164" fontId="7" fillId="0" borderId="0" xfId="0" applyNumberFormat="1" applyFont="1"/>
    <xf numFmtId="2" fontId="25" fillId="5" borderId="1" xfId="4" applyNumberFormat="1" applyFont="1" applyBorder="1"/>
    <xf numFmtId="174" fontId="20" fillId="2" borderId="1" xfId="1" applyNumberFormat="1" applyFont="1" applyBorder="1"/>
    <xf numFmtId="175" fontId="25" fillId="5" borderId="1" xfId="4" applyNumberFormat="1" applyFont="1" applyBorder="1"/>
    <xf numFmtId="0" fontId="28" fillId="6" borderId="2" xfId="5" applyFont="1" applyAlignment="1">
      <alignment horizontal="center"/>
    </xf>
    <xf numFmtId="0" fontId="18" fillId="5" borderId="0" xfId="7" applyFont="1" applyBorder="1" applyAlignment="1">
      <alignment horizontal="left" vertical="center"/>
    </xf>
    <xf numFmtId="0" fontId="18" fillId="5" borderId="41" xfId="7" applyFont="1" applyBorder="1" applyAlignment="1">
      <alignment horizontal="left" vertical="center"/>
    </xf>
    <xf numFmtId="0" fontId="23" fillId="0" borderId="0" xfId="0" applyFont="1" applyBorder="1" applyAlignment="1">
      <alignment horizontal="center"/>
    </xf>
    <xf numFmtId="0" fontId="23" fillId="0" borderId="38" xfId="0" applyFont="1" applyBorder="1" applyAlignment="1">
      <alignment horizontal="center"/>
    </xf>
    <xf numFmtId="0" fontId="18" fillId="5" borderId="44" xfId="7" applyFont="1" applyBorder="1" applyAlignment="1">
      <alignment horizontal="left" vertical="center"/>
    </xf>
    <xf numFmtId="0" fontId="18" fillId="5" borderId="40" xfId="7" applyFont="1" applyBorder="1" applyAlignment="1">
      <alignment horizontal="left" vertical="center"/>
    </xf>
    <xf numFmtId="0" fontId="16" fillId="0" borderId="0" xfId="0" applyFont="1" applyAlignment="1">
      <alignment horizontal="left" vertical="center" wrapText="1"/>
    </xf>
    <xf numFmtId="0" fontId="18" fillId="5" borderId="12" xfId="7" applyFont="1" applyBorder="1" applyAlignment="1">
      <alignment horizontal="left" vertical="center"/>
    </xf>
    <xf numFmtId="0" fontId="18" fillId="5" borderId="14" xfId="7" applyFont="1" applyBorder="1" applyAlignment="1">
      <alignment horizontal="left"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23" fillId="0" borderId="37" xfId="0" applyFont="1" applyBorder="1" applyAlignment="1">
      <alignment horizontal="center"/>
    </xf>
    <xf numFmtId="0" fontId="38" fillId="10" borderId="39" xfId="6" applyFont="1" applyFill="1" applyBorder="1" applyAlignment="1">
      <alignment horizontal="center" vertical="center"/>
    </xf>
    <xf numFmtId="0" fontId="31" fillId="10" borderId="44" xfId="0" applyFont="1" applyFill="1" applyBorder="1" applyAlignment="1">
      <alignment horizontal="center" vertical="center"/>
    </xf>
    <xf numFmtId="0" fontId="31" fillId="10" borderId="40" xfId="0" applyFont="1" applyFill="1" applyBorder="1" applyAlignment="1">
      <alignment horizontal="center" vertical="center"/>
    </xf>
    <xf numFmtId="11" fontId="39" fillId="11" borderId="42" xfId="1" applyNumberFormat="1" applyFont="1" applyFill="1" applyBorder="1"/>
    <xf numFmtId="0" fontId="31" fillId="11" borderId="38" xfId="0" applyFont="1" applyFill="1" applyBorder="1" applyAlignment="1">
      <alignment horizontal="center"/>
    </xf>
    <xf numFmtId="0" fontId="31" fillId="11" borderId="43" xfId="0" applyFont="1" applyFill="1" applyBorder="1" applyAlignment="1">
      <alignment horizontal="center"/>
    </xf>
    <xf numFmtId="0" fontId="28" fillId="0" borderId="12" xfId="0" applyFont="1" applyBorder="1" applyAlignment="1">
      <alignment horizontal="center" wrapText="1"/>
    </xf>
    <xf numFmtId="0" fontId="28" fillId="0" borderId="13" xfId="0" applyFont="1" applyBorder="1" applyAlignment="1">
      <alignment horizontal="center" wrapText="1"/>
    </xf>
    <xf numFmtId="0" fontId="28" fillId="0" borderId="14" xfId="0" applyFont="1" applyFill="1" applyBorder="1" applyAlignment="1">
      <alignment horizontal="center" wrapText="1"/>
    </xf>
    <xf numFmtId="166" fontId="7" fillId="0" borderId="0" xfId="8" applyNumberFormat="1" applyFont="1" applyBorder="1" applyAlignment="1">
      <alignment horizontal="center"/>
    </xf>
    <xf numFmtId="167" fontId="7" fillId="0" borderId="40" xfId="0" applyNumberFormat="1" applyFont="1" applyBorder="1"/>
    <xf numFmtId="167" fontId="7" fillId="0" borderId="41" xfId="0" applyNumberFormat="1" applyFont="1" applyBorder="1"/>
    <xf numFmtId="166" fontId="7" fillId="0" borderId="38" xfId="8" applyNumberFormat="1" applyFont="1" applyBorder="1" applyAlignment="1">
      <alignment horizontal="center"/>
    </xf>
    <xf numFmtId="167" fontId="7" fillId="0" borderId="43" xfId="0" applyNumberFormat="1" applyFont="1" applyBorder="1"/>
    <xf numFmtId="0" fontId="40" fillId="0" borderId="39" xfId="0" applyFont="1" applyBorder="1" applyAlignment="1">
      <alignment horizontal="center"/>
    </xf>
    <xf numFmtId="11" fontId="41" fillId="7" borderId="44" xfId="6" applyNumberFormat="1" applyFont="1" applyBorder="1" applyAlignment="1">
      <alignment horizontal="center" vertical="center"/>
    </xf>
    <xf numFmtId="0" fontId="40" fillId="0" borderId="44" xfId="0" applyFont="1" applyBorder="1" applyAlignment="1">
      <alignment horizontal="left"/>
    </xf>
    <xf numFmtId="0" fontId="40" fillId="0" borderId="40" xfId="0" applyFont="1" applyBorder="1" applyAlignment="1">
      <alignment horizontal="left"/>
    </xf>
    <xf numFmtId="0" fontId="40" fillId="0" borderId="42" xfId="0" applyFont="1" applyBorder="1" applyAlignment="1">
      <alignment horizontal="center"/>
    </xf>
    <xf numFmtId="11" fontId="41" fillId="7" borderId="38" xfId="6" applyNumberFormat="1" applyFont="1" applyBorder="1" applyAlignment="1">
      <alignment horizontal="center" vertical="center"/>
    </xf>
    <xf numFmtId="0" fontId="40" fillId="0" borderId="38" xfId="0" applyFont="1" applyBorder="1" applyAlignment="1">
      <alignment horizontal="left"/>
    </xf>
    <xf numFmtId="0" fontId="40" fillId="0" borderId="43" xfId="0" applyFont="1" applyBorder="1" applyAlignment="1">
      <alignment horizontal="left"/>
    </xf>
    <xf numFmtId="176" fontId="7" fillId="0" borderId="44" xfId="0" applyNumberFormat="1" applyFont="1" applyBorder="1"/>
    <xf numFmtId="176" fontId="7" fillId="0" borderId="0" xfId="0" applyNumberFormat="1" applyFont="1" applyBorder="1"/>
    <xf numFmtId="176" fontId="7" fillId="0" borderId="38" xfId="0" applyNumberFormat="1" applyFont="1" applyBorder="1"/>
    <xf numFmtId="2" fontId="7" fillId="0" borderId="0" xfId="0" applyNumberFormat="1" applyFont="1" applyBorder="1" applyAlignment="1">
      <alignment horizontal="center"/>
    </xf>
    <xf numFmtId="2" fontId="7" fillId="0" borderId="48" xfId="0" applyNumberFormat="1" applyFont="1" applyBorder="1" applyAlignment="1">
      <alignment horizontal="center"/>
    </xf>
    <xf numFmtId="0" fontId="28" fillId="0" borderId="47" xfId="0" applyFont="1" applyBorder="1" applyAlignment="1">
      <alignment horizontal="center" wrapText="1"/>
    </xf>
    <xf numFmtId="0" fontId="28" fillId="0" borderId="47" xfId="0" applyFont="1" applyFill="1" applyBorder="1" applyAlignment="1">
      <alignment horizontal="center" wrapText="1"/>
    </xf>
    <xf numFmtId="0" fontId="42" fillId="0" borderId="47" xfId="0" applyFont="1" applyBorder="1" applyAlignment="1">
      <alignment horizontal="center" vertical="center"/>
    </xf>
  </cellXfs>
  <cellStyles count="9">
    <cellStyle name="Accent1" xfId="6" builtinId="29"/>
    <cellStyle name="Bad" xfId="2" builtinId="27"/>
    <cellStyle name="Calculation" xfId="4" builtinId="22"/>
    <cellStyle name="Comma" xfId="8" builtinId="3"/>
    <cellStyle name="Good" xfId="1" builtinId="26"/>
    <cellStyle name="Input" xfId="3" builtinId="20"/>
    <cellStyle name="Normal" xfId="0" builtinId="0"/>
    <cellStyle name="Note" xfId="5" builtinId="10"/>
    <cellStyle name="Output" xfId="7" builtinId="21"/>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Leakage - Pond</a:t>
            </a:r>
            <a:r>
              <a:rPr lang="en-US" sz="2000" b="1" baseline="0">
                <a:solidFill>
                  <a:sysClr val="windowText" lastClr="000000"/>
                </a:solidFill>
              </a:rPr>
              <a:t> Volume</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49439315042999E-2"/>
          <c:y val="0.116067437527665"/>
          <c:w val="0.86023526937918604"/>
          <c:h val="0.67769650935264303"/>
        </c:manualLayout>
      </c:layout>
      <c:scatterChart>
        <c:scatterStyle val="smoothMarker"/>
        <c:varyColors val="0"/>
        <c:ser>
          <c:idx val="0"/>
          <c:order val="0"/>
          <c:tx>
            <c:v>Clay Liner</c:v>
          </c:tx>
          <c:spPr>
            <a:ln w="25400" cap="rnd">
              <a:solidFill>
                <a:schemeClr val="accent1"/>
              </a:solidFill>
              <a:round/>
            </a:ln>
            <a:effectLst/>
          </c:spPr>
          <c:marker>
            <c:symbol val="circle"/>
            <c:size val="5"/>
            <c:spPr>
              <a:solidFill>
                <a:schemeClr val="accent1"/>
              </a:solidFill>
              <a:ln w="9525">
                <a:solidFill>
                  <a:schemeClr val="accent1"/>
                </a:solidFill>
              </a:ln>
              <a:effectLst/>
            </c:spPr>
          </c:marker>
          <c:xVal>
            <c:numRef>
              <c:f>metric!$N$22:$N$26</c:f>
              <c:numCache>
                <c:formatCode>_(* #,##0.0_);_(* \(#,##0.0\);_(* "-"??_);_(@_)</c:formatCode>
                <c:ptCount val="5"/>
                <c:pt idx="0">
                  <c:v>29112.75</c:v>
                </c:pt>
                <c:pt idx="1">
                  <c:v>54540</c:v>
                </c:pt>
                <c:pt idx="2">
                  <c:v>76646.25</c:v>
                </c:pt>
                <c:pt idx="3">
                  <c:v>95796</c:v>
                </c:pt>
                <c:pt idx="4">
                  <c:v>112353.75</c:v>
                </c:pt>
              </c:numCache>
            </c:numRef>
          </c:xVal>
          <c:yVal>
            <c:numRef>
              <c:f>metric!$O$22:$O$26</c:f>
              <c:numCache>
                <c:formatCode>0.00</c:formatCode>
                <c:ptCount val="5"/>
                <c:pt idx="0">
                  <c:v>0.5726087750346619</c:v>
                </c:pt>
                <c:pt idx="1">
                  <c:v>2.3057458026423423</c:v>
                </c:pt>
                <c:pt idx="2">
                  <c:v>4.0600822644859083</c:v>
                </c:pt>
                <c:pt idx="3">
                  <c:v>5.833346792611513</c:v>
                </c:pt>
                <c:pt idx="4">
                  <c:v>7.6232680190653124</c:v>
                </c:pt>
              </c:numCache>
            </c:numRef>
          </c:yVal>
          <c:smooth val="1"/>
          <c:extLst>
            <c:ext xmlns:c16="http://schemas.microsoft.com/office/drawing/2014/chart" uri="{C3380CC4-5D6E-409C-BE32-E72D297353CC}">
              <c16:uniqueId val="{00000000-1ED4-4C50-B28E-4BC72C14BD89}"/>
            </c:ext>
          </c:extLst>
        </c:ser>
        <c:ser>
          <c:idx val="1"/>
          <c:order val="1"/>
          <c:tx>
            <c:v>Geomembrane</c:v>
          </c:tx>
          <c:spPr>
            <a:ln w="25400" cap="rnd">
              <a:solidFill>
                <a:schemeClr val="accent2"/>
              </a:solidFill>
              <a:round/>
            </a:ln>
            <a:effectLst/>
          </c:spPr>
          <c:marker>
            <c:symbol val="circle"/>
            <c:size val="5"/>
            <c:spPr>
              <a:solidFill>
                <a:schemeClr val="accent2"/>
              </a:solidFill>
              <a:ln w="9525">
                <a:solidFill>
                  <a:schemeClr val="accent2"/>
                </a:solidFill>
              </a:ln>
              <a:effectLst/>
            </c:spPr>
          </c:marker>
          <c:xVal>
            <c:numRef>
              <c:f>metric!$N$22:$N$26</c:f>
              <c:numCache>
                <c:formatCode>_(* #,##0.0_);_(* \(#,##0.0\);_(* "-"??_);_(@_)</c:formatCode>
                <c:ptCount val="5"/>
                <c:pt idx="0">
                  <c:v>29112.75</c:v>
                </c:pt>
                <c:pt idx="1">
                  <c:v>54540</c:v>
                </c:pt>
                <c:pt idx="2">
                  <c:v>76646.25</c:v>
                </c:pt>
                <c:pt idx="3">
                  <c:v>95796</c:v>
                </c:pt>
                <c:pt idx="4">
                  <c:v>112353.75</c:v>
                </c:pt>
              </c:numCache>
            </c:numRef>
          </c:xVal>
          <c:yVal>
            <c:numRef>
              <c:f>metric!$P$22:$P$26</c:f>
              <c:numCache>
                <c:formatCode>0.00</c:formatCode>
                <c:ptCount val="5"/>
                <c:pt idx="0">
                  <c:v>5.7260877503466194E-3</c:v>
                </c:pt>
                <c:pt idx="1">
                  <c:v>2.3057458026423429E-2</c:v>
                </c:pt>
                <c:pt idx="2">
                  <c:v>4.0600822644859084E-2</c:v>
                </c:pt>
                <c:pt idx="3">
                  <c:v>5.8333467926115129E-2</c:v>
                </c:pt>
                <c:pt idx="4">
                  <c:v>7.6232680190653129E-2</c:v>
                </c:pt>
              </c:numCache>
            </c:numRef>
          </c:yVal>
          <c:smooth val="1"/>
          <c:extLst>
            <c:ext xmlns:c16="http://schemas.microsoft.com/office/drawing/2014/chart" uri="{C3380CC4-5D6E-409C-BE32-E72D297353CC}">
              <c16:uniqueId val="{00000001-1ED4-4C50-B28E-4BC72C14BD89}"/>
            </c:ext>
          </c:extLst>
        </c:ser>
        <c:dLbls>
          <c:showLegendKey val="0"/>
          <c:showVal val="0"/>
          <c:showCatName val="0"/>
          <c:showSerName val="0"/>
          <c:showPercent val="0"/>
          <c:showBubbleSize val="0"/>
        </c:dLbls>
        <c:axId val="491492432"/>
        <c:axId val="493638384"/>
      </c:scatterChart>
      <c:valAx>
        <c:axId val="491492432"/>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sz="2800">
                    <a:solidFill>
                      <a:sysClr val="windowText" lastClr="000000"/>
                    </a:solidFill>
                  </a:rPr>
                  <a:t>Total</a:t>
                </a:r>
                <a:r>
                  <a:rPr lang="en-US" sz="2800" baseline="0">
                    <a:solidFill>
                      <a:sysClr val="windowText" lastClr="000000"/>
                    </a:solidFill>
                  </a:rPr>
                  <a:t> Volume of Pond (m3)</a:t>
                </a:r>
                <a:endParaRPr lang="en-US" sz="2800">
                  <a:solidFill>
                    <a:sysClr val="windowText" lastClr="000000"/>
                  </a:solidFill>
                </a:endParaRPr>
              </a:p>
            </c:rich>
          </c:tx>
          <c:layout>
            <c:manualLayout>
              <c:xMode val="edge"/>
              <c:yMode val="edge"/>
              <c:x val="0.43631662430563001"/>
              <c:y val="0.84578888180736145"/>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_(* #,##0.0_);_(* \(#,##0.0\);_(* &quot;-&quot;??_);_(@_)"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93638384"/>
        <c:crosses val="autoZero"/>
        <c:crossBetween val="midCat"/>
        <c:majorUnit val="10000"/>
      </c:valAx>
      <c:valAx>
        <c:axId val="493638384"/>
        <c:scaling>
          <c:orientation val="minMax"/>
          <c:max val="8"/>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2800">
                    <a:solidFill>
                      <a:sysClr val="windowText" lastClr="000000"/>
                    </a:solidFill>
                  </a:rPr>
                  <a:t>Total</a:t>
                </a:r>
                <a:r>
                  <a:rPr lang="en-US" sz="2800" baseline="0">
                    <a:solidFill>
                      <a:sysClr val="windowText" lastClr="000000"/>
                    </a:solidFill>
                  </a:rPr>
                  <a:t> Leakage (m3/Day)</a:t>
                </a:r>
              </a:p>
            </c:rich>
          </c:tx>
          <c:layout>
            <c:manualLayout>
              <c:xMode val="edge"/>
              <c:yMode val="edge"/>
              <c:x val="1.3423689320775386E-2"/>
              <c:y val="0.2390500512652603"/>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numFmt formatCode="0.0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91492432"/>
        <c:crosses val="autoZero"/>
        <c:crossBetween val="midCat"/>
        <c:majorUnit val="1"/>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Money Lost Per Day - Based on  Pond</a:t>
            </a:r>
            <a:r>
              <a:rPr lang="en-US" sz="2000" b="1" baseline="0">
                <a:solidFill>
                  <a:sysClr val="windowText" lastClr="000000"/>
                </a:solidFill>
              </a:rPr>
              <a:t> Volume</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49439315042999E-2"/>
          <c:y val="0.116067437527665"/>
          <c:w val="0.86023526937918604"/>
          <c:h val="0.67769650935264303"/>
        </c:manualLayout>
      </c:layout>
      <c:scatterChart>
        <c:scatterStyle val="smoothMarker"/>
        <c:varyColors val="0"/>
        <c:ser>
          <c:idx val="0"/>
          <c:order val="0"/>
          <c:tx>
            <c:v>Compacted Soil Liner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metric!$N$22:$N$26</c:f>
              <c:numCache>
                <c:formatCode>_(* #,##0.0_);_(* \(#,##0.0\);_(* "-"??_);_(@_)</c:formatCode>
                <c:ptCount val="5"/>
                <c:pt idx="0">
                  <c:v>29112.75</c:v>
                </c:pt>
                <c:pt idx="1">
                  <c:v>54540</c:v>
                </c:pt>
                <c:pt idx="2">
                  <c:v>76646.25</c:v>
                </c:pt>
                <c:pt idx="3">
                  <c:v>95796</c:v>
                </c:pt>
                <c:pt idx="4">
                  <c:v>112353.75</c:v>
                </c:pt>
              </c:numCache>
            </c:numRef>
          </c:xVal>
          <c:yVal>
            <c:numRef>
              <c:f>metric!$Q$22:$Q$26</c:f>
              <c:numCache>
                <c:formatCode>"$"#,##0.00</c:formatCode>
                <c:ptCount val="5"/>
                <c:pt idx="0">
                  <c:v>11.605537244535121</c:v>
                </c:pt>
                <c:pt idx="1">
                  <c:v>46.732463691944631</c:v>
                </c:pt>
                <c:pt idx="2">
                  <c:v>82.289056666159908</c:v>
                </c:pt>
                <c:pt idx="3">
                  <c:v>118.22928046788027</c:v>
                </c:pt>
                <c:pt idx="4">
                  <c:v>154.50709939780515</c:v>
                </c:pt>
              </c:numCache>
            </c:numRef>
          </c:yVal>
          <c:smooth val="1"/>
          <c:extLst>
            <c:ext xmlns:c16="http://schemas.microsoft.com/office/drawing/2014/chart" uri="{C3380CC4-5D6E-409C-BE32-E72D297353CC}">
              <c16:uniqueId val="{00000000-528B-4FE9-B648-7457150F3DF5}"/>
            </c:ext>
          </c:extLst>
        </c:ser>
        <c:ser>
          <c:idx val="1"/>
          <c:order val="1"/>
          <c:tx>
            <c:v>Geomembrane</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metric!$N$22:$N$26</c:f>
              <c:numCache>
                <c:formatCode>_(* #,##0.0_);_(* \(#,##0.0\);_(* "-"??_);_(@_)</c:formatCode>
                <c:ptCount val="5"/>
                <c:pt idx="0">
                  <c:v>29112.75</c:v>
                </c:pt>
                <c:pt idx="1">
                  <c:v>54540</c:v>
                </c:pt>
                <c:pt idx="2">
                  <c:v>76646.25</c:v>
                </c:pt>
                <c:pt idx="3">
                  <c:v>95796</c:v>
                </c:pt>
                <c:pt idx="4">
                  <c:v>112353.75</c:v>
                </c:pt>
              </c:numCache>
            </c:numRef>
          </c:xVal>
          <c:yVal>
            <c:numRef>
              <c:f>metric!$R$22:$R$26</c:f>
              <c:numCache>
                <c:formatCode>"US$"#,##0.00</c:formatCode>
                <c:ptCount val="5"/>
                <c:pt idx="0">
                  <c:v>0.11605537244535122</c:v>
                </c:pt>
                <c:pt idx="1">
                  <c:v>0.46732463691944642</c:v>
                </c:pt>
                <c:pt idx="2">
                  <c:v>0.8228905666615991</c:v>
                </c:pt>
                <c:pt idx="3">
                  <c:v>1.1822928046788028</c:v>
                </c:pt>
                <c:pt idx="4">
                  <c:v>1.5450709939780516</c:v>
                </c:pt>
              </c:numCache>
            </c:numRef>
          </c:yVal>
          <c:smooth val="1"/>
          <c:extLst>
            <c:ext xmlns:c16="http://schemas.microsoft.com/office/drawing/2014/chart" uri="{C3380CC4-5D6E-409C-BE32-E72D297353CC}">
              <c16:uniqueId val="{00000001-528B-4FE9-B648-7457150F3DF5}"/>
            </c:ext>
          </c:extLst>
        </c:ser>
        <c:dLbls>
          <c:showLegendKey val="0"/>
          <c:showVal val="0"/>
          <c:showCatName val="0"/>
          <c:showSerName val="0"/>
          <c:showPercent val="0"/>
          <c:showBubbleSize val="0"/>
        </c:dLbls>
        <c:axId val="633433680"/>
        <c:axId val="633436800"/>
      </c:scatterChart>
      <c:valAx>
        <c:axId val="633433680"/>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r>
                  <a:rPr lang="en-US" sz="2400">
                    <a:solidFill>
                      <a:sysClr val="windowText" lastClr="000000"/>
                    </a:solidFill>
                  </a:rPr>
                  <a:t>Total</a:t>
                </a:r>
                <a:r>
                  <a:rPr lang="en-US" sz="2400" baseline="0">
                    <a:solidFill>
                      <a:sysClr val="windowText" lastClr="000000"/>
                    </a:solidFill>
                  </a:rPr>
                  <a:t> Volume of Pond (m3)</a:t>
                </a:r>
                <a:endParaRPr lang="en-US" sz="2400">
                  <a:solidFill>
                    <a:sysClr val="windowText" lastClr="000000"/>
                  </a:solidFill>
                </a:endParaRPr>
              </a:p>
            </c:rich>
          </c:tx>
          <c:layout>
            <c:manualLayout>
              <c:xMode val="edge"/>
              <c:yMode val="edge"/>
              <c:x val="0.44398347377515218"/>
              <c:y val="0.84764142397493847"/>
            </c:manualLayout>
          </c:layout>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title>
        <c:numFmt formatCode="#,##0"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33436800"/>
        <c:crosses val="autoZero"/>
        <c:crossBetween val="midCat"/>
        <c:majorUnit val="20000"/>
        <c:minorUnit val="4000"/>
      </c:valAx>
      <c:valAx>
        <c:axId val="633436800"/>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sz="2000" baseline="0">
                    <a:solidFill>
                      <a:sysClr val="windowText" lastClr="000000"/>
                    </a:solidFill>
                  </a:rPr>
                  <a:t>Money Loss (US Dollar/Day)</a:t>
                </a:r>
              </a:p>
            </c:rich>
          </c:tx>
          <c:layout>
            <c:manualLayout>
              <c:xMode val="edge"/>
              <c:yMode val="edge"/>
              <c:x val="3.7989876053509453E-2"/>
              <c:y val="0.15583405971824627"/>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quot;$&quot;#,##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33433680"/>
        <c:crosses val="autoZero"/>
        <c:crossBetween val="midCat"/>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238869</xdr:colOff>
      <xdr:row>28</xdr:row>
      <xdr:rowOff>217714</xdr:rowOff>
    </xdr:from>
    <xdr:to>
      <xdr:col>26</xdr:col>
      <xdr:colOff>191655</xdr:colOff>
      <xdr:row>49</xdr:row>
      <xdr:rowOff>118255</xdr:rowOff>
    </xdr:to>
    <xdr:graphicFrame macro="">
      <xdr:nvGraphicFramePr>
        <xdr:cNvPr id="2" name="Chart 1">
          <a:extLst>
            <a:ext uri="{FF2B5EF4-FFF2-40B4-BE49-F238E27FC236}">
              <a16:creationId xmlns:a16="http://schemas.microsoft.com/office/drawing/2014/main" id="{BB50C934-EBC2-484E-8E9D-8D1039768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285749</xdr:colOff>
      <xdr:row>0</xdr:row>
      <xdr:rowOff>132523</xdr:rowOff>
    </xdr:from>
    <xdr:to>
      <xdr:col>1</xdr:col>
      <xdr:colOff>1806258</xdr:colOff>
      <xdr:row>3</xdr:row>
      <xdr:rowOff>190500</xdr:rowOff>
    </xdr:to>
    <xdr:pic>
      <xdr:nvPicPr>
        <xdr:cNvPr id="3" name="Picture 2">
          <a:extLst>
            <a:ext uri="{FF2B5EF4-FFF2-40B4-BE49-F238E27FC236}">
              <a16:creationId xmlns:a16="http://schemas.microsoft.com/office/drawing/2014/main" id="{02818081-E196-4AB4-8C35-A967CFE0C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38874" y="132523"/>
          <a:ext cx="1520509" cy="1143827"/>
        </a:xfrm>
        <a:prstGeom prst="rect">
          <a:avLst/>
        </a:prstGeom>
      </xdr:spPr>
    </xdr:pic>
    <xdr:clientData/>
  </xdr:twoCellAnchor>
  <xdr:twoCellAnchor>
    <xdr:from>
      <xdr:col>10</xdr:col>
      <xdr:colOff>296885</xdr:colOff>
      <xdr:row>48</xdr:row>
      <xdr:rowOff>35628</xdr:rowOff>
    </xdr:from>
    <xdr:to>
      <xdr:col>26</xdr:col>
      <xdr:colOff>41069</xdr:colOff>
      <xdr:row>73</xdr:row>
      <xdr:rowOff>59376</xdr:rowOff>
    </xdr:to>
    <xdr:graphicFrame macro="">
      <xdr:nvGraphicFramePr>
        <xdr:cNvPr id="4" name="Chart 1">
          <a:extLst>
            <a:ext uri="{FF2B5EF4-FFF2-40B4-BE49-F238E27FC236}">
              <a16:creationId xmlns:a16="http://schemas.microsoft.com/office/drawing/2014/main" id="{CA3271B9-D63A-44C9-BCA0-1714C5CC6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15833</xdr:colOff>
      <xdr:row>0</xdr:row>
      <xdr:rowOff>145473</xdr:rowOff>
    </xdr:from>
    <xdr:to>
      <xdr:col>3</xdr:col>
      <xdr:colOff>848591</xdr:colOff>
      <xdr:row>3</xdr:row>
      <xdr:rowOff>245635</xdr:rowOff>
    </xdr:to>
    <xdr:pic>
      <xdr:nvPicPr>
        <xdr:cNvPr id="5" name="Picture 4">
          <a:extLst>
            <a:ext uri="{FF2B5EF4-FFF2-40B4-BE49-F238E27FC236}">
              <a16:creationId xmlns:a16="http://schemas.microsoft.com/office/drawing/2014/main" id="{E20C7796-9256-47D6-B177-10A46718182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50308" y="145473"/>
          <a:ext cx="832758" cy="118601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ud Medina, Gonzalo Farid" id="{3C72F681-0AC8-0044-AACE-9A3C2A1501E8}" userId="S::gfs3@illinois.edu::ed6506c5-dc6b-4929-b403-b4c8a15453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6" dT="2020-11-27T04:40:39.84" personId="{3C72F681-0AC8-0044-AACE-9A3C2A1501E8}" id="{D7A099F0-67FB-BC40-A460-B3996C6C5E3F}">
    <text xml:space="preserve">Updated the units to cm. The thickness used here is 2.5 mm, so 0.25 cm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8F7A-00BB-4A17-89C7-28E6F48DF318}">
  <dimension ref="A1:X55"/>
  <sheetViews>
    <sheetView tabSelected="1" zoomScale="85" zoomScaleNormal="85" workbookViewId="0">
      <selection activeCell="B5" sqref="B5"/>
    </sheetView>
  </sheetViews>
  <sheetFormatPr defaultColWidth="8.84375" defaultRowHeight="14.6"/>
  <cols>
    <col min="1" max="1" width="89.3046875" customWidth="1"/>
    <col min="2" max="2" width="46" customWidth="1"/>
    <col min="3" max="3" width="1.69140625" customWidth="1"/>
    <col min="4" max="4" width="17.84375" customWidth="1"/>
    <col min="5" max="5" width="11.15234375" bestFit="1" customWidth="1"/>
    <col min="6" max="6" width="55.84375" customWidth="1"/>
    <col min="7" max="7" width="48.4609375" customWidth="1"/>
    <col min="8" max="8" width="1.69140625" bestFit="1" customWidth="1"/>
    <col min="9" max="9" width="25.4609375" customWidth="1"/>
    <col min="10" max="10" width="24.3046875" customWidth="1"/>
    <col min="11" max="11" width="5" bestFit="1" customWidth="1"/>
    <col min="12" max="12" width="3.3046875" customWidth="1"/>
    <col min="13" max="13" width="63.3046875" customWidth="1"/>
    <col min="14" max="14" width="26.84375" customWidth="1"/>
    <col min="15" max="15" width="23.4609375" customWidth="1"/>
    <col min="16" max="16" width="24.15234375" bestFit="1" customWidth="1"/>
    <col min="17" max="17" width="23.921875" customWidth="1"/>
    <col min="18" max="18" width="28.3046875" customWidth="1"/>
    <col min="20" max="20" width="9" customWidth="1"/>
    <col min="21" max="21" width="18.4609375" customWidth="1"/>
    <col min="22" max="22" width="13.15234375" customWidth="1"/>
    <col min="23" max="23" width="17.84375" customWidth="1"/>
    <col min="24" max="24" width="15.84375" customWidth="1"/>
  </cols>
  <sheetData>
    <row r="1" spans="1:24" ht="28.3">
      <c r="A1" s="82" t="s">
        <v>91</v>
      </c>
    </row>
    <row r="2" spans="1:24" ht="28.3">
      <c r="A2" s="82" t="s">
        <v>39</v>
      </c>
    </row>
    <row r="3" spans="1:24" ht="28.3">
      <c r="A3" s="82" t="s">
        <v>64</v>
      </c>
    </row>
    <row r="4" spans="1:24" ht="28.75" thickBot="1">
      <c r="A4" s="82" t="s">
        <v>37</v>
      </c>
    </row>
    <row r="5" spans="1:24" ht="28.75" thickTop="1">
      <c r="A5" s="8"/>
      <c r="B5" s="118"/>
      <c r="C5" s="119" t="s">
        <v>24</v>
      </c>
      <c r="D5" s="119"/>
      <c r="E5" s="120"/>
    </row>
    <row r="6" spans="1:24" ht="28.75" thickBot="1">
      <c r="B6" s="121"/>
      <c r="C6" s="122" t="s">
        <v>25</v>
      </c>
      <c r="D6" s="122"/>
      <c r="E6" s="123"/>
    </row>
    <row r="7" spans="1:24" ht="27" thickTop="1" thickBot="1">
      <c r="A7" s="107" t="s">
        <v>31</v>
      </c>
      <c r="B7" s="107"/>
      <c r="C7" s="107"/>
      <c r="D7" s="107"/>
      <c r="M7" s="108" t="s">
        <v>30</v>
      </c>
      <c r="N7" s="108"/>
      <c r="O7" s="108"/>
      <c r="P7" s="108"/>
      <c r="Q7" s="108"/>
      <c r="R7" s="108"/>
    </row>
    <row r="8" spans="1:24" ht="27" thickTop="1" thickBot="1">
      <c r="A8" s="13" t="s">
        <v>89</v>
      </c>
      <c r="B8" s="18">
        <v>120</v>
      </c>
      <c r="C8" s="109" t="s">
        <v>67</v>
      </c>
      <c r="D8" s="110"/>
      <c r="M8" s="114" t="s">
        <v>87</v>
      </c>
      <c r="N8" s="115"/>
      <c r="O8" s="115"/>
      <c r="P8" s="115"/>
      <c r="Q8" s="115"/>
      <c r="R8" s="116"/>
      <c r="T8" s="104" t="s">
        <v>62</v>
      </c>
      <c r="U8" s="104"/>
      <c r="V8" s="104"/>
      <c r="W8" s="104"/>
      <c r="X8" s="104"/>
    </row>
    <row r="9" spans="1:24" ht="28.3" thickTop="1" thickBot="1">
      <c r="A9" s="14" t="s">
        <v>90</v>
      </c>
      <c r="B9" s="18">
        <v>180</v>
      </c>
      <c r="C9" s="105" t="s">
        <v>67</v>
      </c>
      <c r="D9" s="106"/>
      <c r="M9" s="68" t="s">
        <v>11</v>
      </c>
      <c r="N9" s="69" t="s">
        <v>82</v>
      </c>
      <c r="O9" s="70" t="s">
        <v>83</v>
      </c>
      <c r="P9" s="70" t="s">
        <v>84</v>
      </c>
      <c r="Q9" s="70" t="s">
        <v>85</v>
      </c>
      <c r="R9" s="71" t="s">
        <v>86</v>
      </c>
      <c r="T9" s="81">
        <v>1</v>
      </c>
      <c r="U9" s="81" t="s">
        <v>61</v>
      </c>
      <c r="V9" s="81" t="s">
        <v>2</v>
      </c>
      <c r="W9" s="94">
        <v>9.9999999999999995E-7</v>
      </c>
      <c r="X9" s="81" t="s">
        <v>80</v>
      </c>
    </row>
    <row r="10" spans="1:24" ht="27.9" thickTop="1">
      <c r="A10" s="14" t="s">
        <v>29</v>
      </c>
      <c r="B10" s="18">
        <v>8</v>
      </c>
      <c r="C10" s="105" t="s">
        <v>67</v>
      </c>
      <c r="D10" s="106"/>
      <c r="M10" s="72" t="s">
        <v>43</v>
      </c>
      <c r="N10" s="73">
        <f>N11*10</f>
        <v>572.6087750346619</v>
      </c>
      <c r="O10" s="73">
        <f t="shared" ref="O10:R12" si="0">O11*10</f>
        <v>2305.7458026423419</v>
      </c>
      <c r="P10" s="73">
        <f t="shared" si="0"/>
        <v>4060.0822644859081</v>
      </c>
      <c r="Q10" s="73">
        <f t="shared" si="0"/>
        <v>5833.3467926115136</v>
      </c>
      <c r="R10" s="74">
        <f t="shared" si="0"/>
        <v>7623.2680190653127</v>
      </c>
      <c r="T10" s="81">
        <v>1</v>
      </c>
      <c r="U10" s="81" t="s">
        <v>60</v>
      </c>
      <c r="V10" s="81" t="s">
        <v>2</v>
      </c>
      <c r="W10" s="94">
        <v>1E-4</v>
      </c>
      <c r="X10" s="81" t="s">
        <v>81</v>
      </c>
    </row>
    <row r="11" spans="1:24" ht="29.6">
      <c r="A11" s="14" t="s">
        <v>32</v>
      </c>
      <c r="B11" s="19">
        <f>((D29-2*B10*(B33/D33))*(D30-2*B10*(B33/D33))+(D29-2*D28*(B33/D33))*(D30-2*D28*(B33/D33))+SQRT((D29-2*B10*(B33/D33))*(D30-2*B10*(B33/D33))*(D29-2*D28*(B33/D33))*(D30-2*D28*(B33/D33))))*B10/3</f>
        <v>114854.15332900653</v>
      </c>
      <c r="C11" s="105" t="s">
        <v>68</v>
      </c>
      <c r="D11" s="106"/>
      <c r="M11" s="72" t="s">
        <v>44</v>
      </c>
      <c r="N11" s="73">
        <f>N12*10</f>
        <v>57.26087750346619</v>
      </c>
      <c r="O11" s="73">
        <f t="shared" si="0"/>
        <v>230.57458026423421</v>
      </c>
      <c r="P11" s="73">
        <f t="shared" si="0"/>
        <v>406.00822644859079</v>
      </c>
      <c r="Q11" s="73">
        <f t="shared" si="0"/>
        <v>583.33467926115134</v>
      </c>
      <c r="R11" s="74">
        <f t="shared" si="0"/>
        <v>762.32680190653127</v>
      </c>
      <c r="T11" s="81">
        <v>1</v>
      </c>
      <c r="U11" s="81" t="s">
        <v>75</v>
      </c>
      <c r="V11" s="81" t="s">
        <v>2</v>
      </c>
      <c r="W11" s="81">
        <v>0.01</v>
      </c>
      <c r="X11" s="81" t="s">
        <v>67</v>
      </c>
    </row>
    <row r="12" spans="1:24" ht="27.45">
      <c r="A12" s="14" t="s">
        <v>34</v>
      </c>
      <c r="B12" s="20">
        <v>9.9999999999999995E-8</v>
      </c>
      <c r="C12" s="105" t="s">
        <v>5</v>
      </c>
      <c r="D12" s="106"/>
      <c r="M12" s="72" t="s">
        <v>45</v>
      </c>
      <c r="N12" s="73">
        <f>N13*10</f>
        <v>5.7260877503466192</v>
      </c>
      <c r="O12" s="73">
        <f t="shared" si="0"/>
        <v>23.057458026423422</v>
      </c>
      <c r="P12" s="73">
        <f t="shared" si="0"/>
        <v>40.600822644859079</v>
      </c>
      <c r="Q12" s="73">
        <f t="shared" si="0"/>
        <v>58.333467926115134</v>
      </c>
      <c r="R12" s="74">
        <f t="shared" si="0"/>
        <v>76.232680190653127</v>
      </c>
      <c r="T12" s="81">
        <v>1</v>
      </c>
      <c r="U12" s="81" t="s">
        <v>79</v>
      </c>
      <c r="V12" s="81" t="s">
        <v>42</v>
      </c>
      <c r="W12" s="81">
        <v>4046.8564200000001</v>
      </c>
      <c r="X12" s="81" t="s">
        <v>80</v>
      </c>
    </row>
    <row r="13" spans="1:24" ht="26.15">
      <c r="A13" s="14" t="s">
        <v>63</v>
      </c>
      <c r="B13" s="20">
        <v>9.9999999999999998E-13</v>
      </c>
      <c r="C13" s="105" t="s">
        <v>5</v>
      </c>
      <c r="D13" s="106"/>
      <c r="M13" s="72" t="s">
        <v>46</v>
      </c>
      <c r="N13" s="73">
        <f>O22</f>
        <v>0.5726087750346619</v>
      </c>
      <c r="O13" s="75">
        <f>O23</f>
        <v>2.3057458026423423</v>
      </c>
      <c r="P13" s="75">
        <f>O24</f>
        <v>4.0600822644859083</v>
      </c>
      <c r="Q13" s="75">
        <f>O25</f>
        <v>5.833346792611513</v>
      </c>
      <c r="R13" s="76">
        <f>O26</f>
        <v>7.6232680190653124</v>
      </c>
    </row>
    <row r="14" spans="1:24" ht="29.6">
      <c r="A14" s="14" t="s">
        <v>33</v>
      </c>
      <c r="B14" s="96">
        <f>I34</f>
        <v>9.9853353344891026E-6</v>
      </c>
      <c r="C14" s="105" t="s">
        <v>72</v>
      </c>
      <c r="D14" s="106"/>
      <c r="F14" s="99"/>
      <c r="M14" s="72" t="s">
        <v>47</v>
      </c>
      <c r="N14" s="73">
        <f>N13/10</f>
        <v>5.7260877503466187E-2</v>
      </c>
      <c r="O14" s="75">
        <f>O13/10</f>
        <v>0.23057458026423422</v>
      </c>
      <c r="P14" s="75">
        <f>P13/10</f>
        <v>0.4060082264485908</v>
      </c>
      <c r="Q14" s="75">
        <f>Q13/10</f>
        <v>0.58333467926115135</v>
      </c>
      <c r="R14" s="76">
        <f>R13/10</f>
        <v>0.76232680190653124</v>
      </c>
    </row>
    <row r="15" spans="1:24" ht="30" thickBot="1">
      <c r="A15" s="14" t="s">
        <v>35</v>
      </c>
      <c r="B15" s="98">
        <f>I37</f>
        <v>8.2249794522853473E-8</v>
      </c>
      <c r="C15" s="105" t="s">
        <v>72</v>
      </c>
      <c r="D15" s="106"/>
      <c r="G15" s="100"/>
      <c r="M15" s="95" t="s">
        <v>19</v>
      </c>
      <c r="N15" s="78">
        <f>P22</f>
        <v>5.7260877503466194E-3</v>
      </c>
      <c r="O15" s="79">
        <f>P23</f>
        <v>2.3057458026423429E-2</v>
      </c>
      <c r="P15" s="79">
        <f>P24</f>
        <v>4.0600822644859084E-2</v>
      </c>
      <c r="Q15" s="79">
        <f>P25</f>
        <v>5.8333467926115129E-2</v>
      </c>
      <c r="R15" s="80">
        <f>P26</f>
        <v>7.6232680190653129E-2</v>
      </c>
    </row>
    <row r="16" spans="1:24" ht="27" thickTop="1" thickBot="1">
      <c r="A16" s="15" t="s">
        <v>52</v>
      </c>
      <c r="B16" s="21">
        <f>25000*3.2808399</f>
        <v>82020.997499999998</v>
      </c>
      <c r="C16" s="16" t="s">
        <v>78</v>
      </c>
      <c r="D16" s="17"/>
      <c r="F16" s="86"/>
      <c r="G16" s="86"/>
    </row>
    <row r="17" spans="1:18" ht="27" thickTop="1" thickBot="1">
      <c r="A17" s="15" t="s">
        <v>53</v>
      </c>
      <c r="B17" s="22">
        <f>B14*B16*365/4046.85642</f>
        <v>7.38690934443825E-2</v>
      </c>
      <c r="C17" s="112" t="s">
        <v>55</v>
      </c>
      <c r="D17" s="113"/>
    </row>
    <row r="18" spans="1:18" ht="27" thickTop="1" thickBot="1">
      <c r="A18" s="15" t="s">
        <v>54</v>
      </c>
      <c r="B18" s="22">
        <f>B16*B15*365/4046.85642</f>
        <v>6.0846406794216933E-4</v>
      </c>
      <c r="C18" s="112" t="s">
        <v>55</v>
      </c>
      <c r="D18" s="113"/>
      <c r="E18" s="10"/>
      <c r="M18" s="117" t="s">
        <v>27</v>
      </c>
      <c r="N18" s="117"/>
      <c r="O18" s="107"/>
      <c r="P18" s="107"/>
    </row>
    <row r="19" spans="1:18" ht="31.3" thickTop="1">
      <c r="A19" s="3" t="s">
        <v>93</v>
      </c>
      <c r="B19" s="3"/>
      <c r="C19" s="3"/>
      <c r="D19" s="3"/>
      <c r="M19" s="132" t="s">
        <v>58</v>
      </c>
      <c r="N19" s="133">
        <f>B12</f>
        <v>9.9999999999999995E-8</v>
      </c>
      <c r="O19" s="134" t="s">
        <v>5</v>
      </c>
      <c r="P19" s="134"/>
      <c r="Q19" s="134"/>
      <c r="R19" s="135"/>
    </row>
    <row r="20" spans="1:18" ht="54.9" customHeight="1" thickBot="1">
      <c r="A20" s="9" t="s">
        <v>36</v>
      </c>
      <c r="M20" s="136" t="s">
        <v>59</v>
      </c>
      <c r="N20" s="137">
        <f>D37</f>
        <v>9.9999999999999998E-13</v>
      </c>
      <c r="O20" s="138" t="s">
        <v>5</v>
      </c>
      <c r="P20" s="138"/>
      <c r="Q20" s="138"/>
      <c r="R20" s="139"/>
    </row>
    <row r="21" spans="1:18" ht="70.3" thickTop="1" thickBot="1">
      <c r="A21" s="9"/>
      <c r="B21" s="4"/>
      <c r="C21" s="4"/>
      <c r="D21" s="4"/>
      <c r="M21" s="147" t="s">
        <v>74</v>
      </c>
      <c r="N21" s="124" t="s">
        <v>73</v>
      </c>
      <c r="O21" s="145" t="s">
        <v>76</v>
      </c>
      <c r="P21" s="125" t="s">
        <v>77</v>
      </c>
      <c r="Q21" s="146" t="s">
        <v>92</v>
      </c>
      <c r="R21" s="126" t="s">
        <v>48</v>
      </c>
    </row>
    <row r="22" spans="1:18" ht="26.6" thickTop="1">
      <c r="B22" s="5"/>
      <c r="C22" s="5"/>
      <c r="D22" s="5"/>
      <c r="M22" s="72">
        <v>1.5</v>
      </c>
      <c r="N22" s="127">
        <f>(($D$29-2*M22*($B$33/$D$33))*($D$30-2*M22*($B$33/$D$33))+($D$29-$D$28*$B$33/$D$33*2)*($D$30-$D$28*$B$33/$D$33*2))*M22/2</f>
        <v>29112.75</v>
      </c>
      <c r="O22" s="143">
        <f>$N$19*((M22-$D$28)/($D$34))*((($D$29-2*M22*($B$33/$D$33))*($D$30-2*M22*($B$33/$D$33)))+((($D$30-2*M22*($B$33/$D$33))+($D$30-$D$28*$B$33/$D$33*2))* ( (SQRT($B$33^2+$D$33^2)/$D$33) *(M22-$D$28) )  +  (($D$29-2*M22*($B$33/$D$33)) + ($D$29-$D$28*$B$33/$D$33*2))* ( (SQRT($B$33^2+$D$33^2)/$D$33) *(M22-$D$28) )))*$W$11*3600*24</f>
        <v>0.5726087750346619</v>
      </c>
      <c r="P22" s="143">
        <f>$N$20*((M22-$D$28)/($D$36/100))*((($D$29-2*M22*($B$33/$D$33))*($D$30-2*M22*($B$33/$D$33)))+((($D$30-2*M22*($B$33/$D$33))+($D$30-$D$28*$B$33/$D$33*2))* ( (SQRT($B$33^2+$D$33^2)/$D$33) *(M22-$D$28) )  +  (($D$29-2*M22*($B$33/$D$33)) + ($D$29-$D$28*$B$33/$D$33*2))* ( (SQRT($B$33^2+$D$33^2)/$D$33) *(M22-$D$28) )))*$W$11*3600*24</f>
        <v>5.7260877503466194E-3</v>
      </c>
      <c r="Q22" s="140">
        <f t="shared" ref="Q22:R26" si="1">O22/$W$12*$B$16</f>
        <v>11.605537244535121</v>
      </c>
      <c r="R22" s="128">
        <f t="shared" si="1"/>
        <v>0.11605537244535122</v>
      </c>
    </row>
    <row r="23" spans="1:18" ht="26.15">
      <c r="M23" s="72">
        <v>3</v>
      </c>
      <c r="N23" s="127">
        <f>(($D$29-2*M23*($B$33/$D$33))*($D$30-2*M23*($B$33/$D$33))+($D$29-$D$28*$B$33/$D$33*2)*($D$30-$D$28*$B$33/$D$33*2))*M23/2</f>
        <v>54540</v>
      </c>
      <c r="O23" s="143">
        <f>$N$19*((M23-$D$28)/($D$34))*((($D$29-2*M23*($B$33/$D$33))*($D$30-2*M23*($B$33/$D$33)))+((($D$30-2*M23*($B$33/$D$33))+($D$30-$D$28*$B$33/$D$33*2))* ( (SQRT($B$33^2+$D$33^2)/$D$33) *(M23-$D$28) )  +  (($D$29-2*M23*($B$33/$D$33)) + ($D$29-$D$28*$B$33/$D$33*2))* ( (SQRT($B$33^2+$D$33^2)/$D$33) *(M23-$D$28) )))*$W$11*3600*24</f>
        <v>2.3057458026423423</v>
      </c>
      <c r="P23" s="143">
        <f>$N$20*((M23-$D$28)/($D$36/100))*((($D$29-2*M23*($B$33/$D$33))*($D$30-2*M23*($B$33/$D$33)))+((($D$30-2*M23*($B$33/$D$33))+($D$30-$D$28*$B$33/$D$33*2))* ( (SQRT($B$33^2+$D$33^2)/$D$33) *(M23-$D$28) )  +  (($D$29-2*M23*($B$33/$D$33)) + ($D$29-$D$28*$B$33/$D$33*2))* ( (SQRT($B$33^2+$D$33^2)/$D$33) *(M23-$D$28) )))*$W$11*3600*24</f>
        <v>2.3057458026423429E-2</v>
      </c>
      <c r="Q23" s="141">
        <f t="shared" si="1"/>
        <v>46.732463691944631</v>
      </c>
      <c r="R23" s="129">
        <f t="shared" si="1"/>
        <v>0.46732463691944642</v>
      </c>
    </row>
    <row r="24" spans="1:18" ht="26.6" thickBot="1">
      <c r="A24" s="90" t="s">
        <v>28</v>
      </c>
      <c r="B24" s="90"/>
      <c r="C24" s="90"/>
      <c r="D24" s="90"/>
      <c r="E24" s="90"/>
      <c r="F24" s="90"/>
      <c r="G24" s="90"/>
      <c r="H24" s="90"/>
      <c r="I24" s="90"/>
      <c r="J24" s="90"/>
      <c r="M24" s="72">
        <v>4.5</v>
      </c>
      <c r="N24" s="127">
        <f>(($D$29-2*M24*($B$33/$D$33))*($D$30-2*M24*($B$33/$D$33))+($D$29-$D$28*$B$33/$D$33*2)*($D$30-$D$28*$B$33/$D$33*2))*M24/2</f>
        <v>76646.25</v>
      </c>
      <c r="O24" s="143">
        <f>$N$19*((M24-$D$28)/($D$34))*((($D$29-2*M24*($B$33/$D$33))*($D$30-2*M24*($B$33/$D$33)))+((($D$30-2*M24*($B$33/$D$33))+($D$30-$D$28*$B$33/$D$33*2))* ( (SQRT($B$33^2+$D$33^2)/$D$33) *(M24-$D$28) )  +  (($D$29-2*M24*($B$33/$D$33)) + ($D$29-$D$28*$B$33/$D$33*2))* ( (SQRT($B$33^2+$D$33^2)/$D$33) *(M24-$D$28) )))*$W$11*3600*24</f>
        <v>4.0600822644859083</v>
      </c>
      <c r="P24" s="143">
        <f>$N$20*((M24-$D$28)/($D$36/100))*((($D$29-2*M24*($B$33/$D$33))*($D$30-2*M24*($B$33/$D$33)))+((($D$30-2*M24*($B$33/$D$33))+($D$30-$D$28*$B$33/$D$33*2))* ( (SQRT($B$33^2+$D$33^2)/$D$33) *(M24-$D$28) )  +  (($D$29-2*M24*($B$33/$D$33)) + ($D$29-$D$28*$B$33/$D$33*2))* ( (SQRT($B$33^2+$D$33^2)/$D$33) *(M24-$D$28) )))*$W$11*3600*24</f>
        <v>4.0600822644859084E-2</v>
      </c>
      <c r="Q24" s="141">
        <f t="shared" si="1"/>
        <v>82.289056666159908</v>
      </c>
      <c r="R24" s="129">
        <f t="shared" si="1"/>
        <v>0.8228905666615991</v>
      </c>
    </row>
    <row r="25" spans="1:18" ht="27" thickTop="1" thickBot="1">
      <c r="A25" s="26" t="s">
        <v>20</v>
      </c>
      <c r="B25" s="6"/>
      <c r="C25" s="6"/>
      <c r="D25" s="6"/>
      <c r="E25" s="6"/>
      <c r="F25" s="6"/>
      <c r="G25" s="6"/>
      <c r="H25" s="6"/>
      <c r="I25" s="6"/>
      <c r="J25" s="7"/>
      <c r="M25" s="72">
        <v>6</v>
      </c>
      <c r="N25" s="127">
        <f>(($D$29-2*M25*($B$33/$D$33))*($D$30-2*M25*($B$33/$D$33))+($D$29-$D$28*$B$33/$D$33*2)*($D$30-$D$28*$B$33/$D$33*2))*M25/2</f>
        <v>95796</v>
      </c>
      <c r="O25" s="143">
        <f>$N$19*((M25-$D$28)/($D$34))*((($D$29-2*M25*($B$33/$D$33))*($D$30-2*M25*($B$33/$D$33)))+((($D$30-2*M25*($B$33/$D$33))+($D$30-$D$28*$B$33/$D$33*2))* ( (SQRT($B$33^2+$D$33^2)/$D$33) *(M25-$D$28) )  +  (($D$29-2*M25*($B$33/$D$33)) + ($D$29-$D$28*$B$33/$D$33*2))* ( (SQRT($B$33^2+$D$33^2)/$D$33) *(M25-$D$28) )))*$W$11*3600*24</f>
        <v>5.833346792611513</v>
      </c>
      <c r="P25" s="143">
        <f>$N$20*((M25-$D$28)/($D$36/100))*((($D$29-2*M25*($B$33/$D$33))*($D$30-2*M25*($B$33/$D$33)))+((($D$30-2*M25*($B$33/$D$33))+($D$30-$D$28*$B$33/$D$33*2))* ( (SQRT($B$33^2+$D$33^2)/$D$33) *(M25-$D$28) )  +  (($D$29-2*M25*($B$33/$D$33)) + ($D$29-$D$28*$B$33/$D$33*2))* ( (SQRT($B$33^2+$D$33^2)/$D$33) *(M25-$D$28) )))*$W$11*3600*24</f>
        <v>5.8333467926115129E-2</v>
      </c>
      <c r="Q25" s="141">
        <f t="shared" si="1"/>
        <v>118.22928046788027</v>
      </c>
      <c r="R25" s="129">
        <f t="shared" si="1"/>
        <v>1.1822928046788028</v>
      </c>
    </row>
    <row r="26" spans="1:18" ht="29.15" thickTop="1" thickBot="1">
      <c r="A26" s="30" t="s">
        <v>0</v>
      </c>
      <c r="B26" s="31"/>
      <c r="C26" s="31"/>
      <c r="D26" s="31"/>
      <c r="E26" s="31"/>
      <c r="F26" s="32"/>
      <c r="G26" s="85" t="s">
        <v>7</v>
      </c>
      <c r="H26" s="11"/>
      <c r="I26" s="11"/>
      <c r="J26" s="12"/>
      <c r="M26" s="77">
        <v>7.5</v>
      </c>
      <c r="N26" s="130">
        <f>(($D$29-2*M26*($B$33/$D$33))*($D$30-2*M26*($B$33/$D$33))+($D$29-$D$28*$B$33/$D$33*2)*($D$30-$D$28*$B$33/$D$33*2))*M26/2</f>
        <v>112353.75</v>
      </c>
      <c r="O26" s="144">
        <f>$N$19*((M26-$D$28)/($D$34))*((($D$29-2*M26*($B$33/$D$33))*($D$30-2*M26*($B$33/$D$33)))+((($D$30-2*M26*($B$33/$D$33))+($D$30-$D$28*$B$33/$D$33*2))* ( (SQRT($B$33^2+$D$33^2)/$D$33) *(M26-$D$28) )  +  (($D$29-2*M26*($B$33/$D$33)) + ($D$29-$D$28*$B$33/$D$33*2))* ( (SQRT($B$33^2+$D$33^2)/$D$33) *(M26-$D$28) )))*$W$11*3600*24</f>
        <v>7.6232680190653124</v>
      </c>
      <c r="P26" s="144">
        <f>$N$20*((M26-$D$28)/($D$36/100))*((($D$29-2*M26*($B$33/$D$33))*($D$30-2*M26*($B$33/$D$33)))+((($D$30-2*M26*($B$33/$D$33))+($D$30-$D$28*$B$33/$D$33*2))* ( (SQRT($B$33^2+$D$33^2)/$D$33) *(M26-$D$28) )  +  (($D$29-2*M26*($B$33/$D$33)) + ($D$29-$D$28*$B$33/$D$33*2))* ( (SQRT($B$33^2+$D$33^2)/$D$33) *(M26-$D$28) )))*$W$11*3600*24</f>
        <v>7.6232680190653129E-2</v>
      </c>
      <c r="Q26" s="142">
        <f t="shared" si="1"/>
        <v>154.50709939780515</v>
      </c>
      <c r="R26" s="131">
        <f t="shared" si="1"/>
        <v>1.5450709939780516</v>
      </c>
    </row>
    <row r="27" spans="1:18" ht="30.45" thickTop="1" thickBot="1">
      <c r="A27" s="23" t="s">
        <v>12</v>
      </c>
      <c r="B27" s="33" t="s">
        <v>9</v>
      </c>
      <c r="C27" s="34" t="s">
        <v>2</v>
      </c>
      <c r="D27" s="18">
        <f>+B10</f>
        <v>8</v>
      </c>
      <c r="E27" s="34" t="s">
        <v>67</v>
      </c>
      <c r="F27" s="35"/>
      <c r="G27" s="58" t="s">
        <v>15</v>
      </c>
      <c r="H27" s="59" t="s">
        <v>2</v>
      </c>
      <c r="I27" s="88">
        <f>(D29-2*D27*(B33/D33))*(D30-2*D27*(B33/D33))</f>
        <v>9504</v>
      </c>
      <c r="J27" s="60" t="s">
        <v>70</v>
      </c>
      <c r="M27" s="2"/>
      <c r="N27" s="2"/>
      <c r="O27" s="2"/>
      <c r="P27" s="2"/>
    </row>
    <row r="28" spans="1:18" ht="30.45" thickTop="1" thickBot="1">
      <c r="A28" s="24"/>
      <c r="B28" s="36" t="s">
        <v>14</v>
      </c>
      <c r="C28" s="37" t="s">
        <v>2</v>
      </c>
      <c r="D28" s="18">
        <v>1</v>
      </c>
      <c r="E28" s="37" t="s">
        <v>67</v>
      </c>
      <c r="F28" s="39" t="s">
        <v>21</v>
      </c>
      <c r="G28" s="61" t="s">
        <v>16</v>
      </c>
      <c r="H28" s="62" t="s">
        <v>2</v>
      </c>
      <c r="I28" s="89">
        <f>((D30-2*D27*(B33/D33))+(D30-D28*B33/D33*2))* ( (SQRT(B33^2+D33^2)/D33) *(D27-D28) )  +  ((D29-2*D27*(B33/D33)) + (D29-D28*B33/D33*2))* ( (SQRT(B33^2+D33^2)/D33) *(D27-D28) )</f>
        <v>10890.8842616199</v>
      </c>
      <c r="J28" s="60" t="s">
        <v>70</v>
      </c>
    </row>
    <row r="29" spans="1:18" ht="30.45" thickTop="1" thickBot="1">
      <c r="A29" s="24"/>
      <c r="B29" s="36" t="s">
        <v>57</v>
      </c>
      <c r="C29" s="37" t="s">
        <v>2</v>
      </c>
      <c r="D29" s="18">
        <f>+B8</f>
        <v>120</v>
      </c>
      <c r="E29" s="37" t="s">
        <v>67</v>
      </c>
      <c r="F29" s="40"/>
      <c r="G29" s="61" t="s">
        <v>17</v>
      </c>
      <c r="H29" s="62" t="s">
        <v>2</v>
      </c>
      <c r="I29" s="89">
        <f>I28+I27</f>
        <v>20394.8842616199</v>
      </c>
      <c r="J29" s="60" t="s">
        <v>70</v>
      </c>
    </row>
    <row r="30" spans="1:18" ht="30.45" thickTop="1" thickBot="1">
      <c r="A30" s="24"/>
      <c r="B30" s="41" t="s">
        <v>56</v>
      </c>
      <c r="C30" s="42" t="s">
        <v>2</v>
      </c>
      <c r="D30" s="18">
        <f>+B9</f>
        <v>180</v>
      </c>
      <c r="E30" s="42" t="s">
        <v>67</v>
      </c>
      <c r="F30" s="43"/>
      <c r="G30" s="61" t="s">
        <v>23</v>
      </c>
      <c r="H30" s="62" t="s">
        <v>2</v>
      </c>
      <c r="I30" s="89">
        <f>+B11</f>
        <v>114854.15332900653</v>
      </c>
      <c r="J30" s="63" t="s">
        <v>71</v>
      </c>
      <c r="Q30" s="2"/>
    </row>
    <row r="31" spans="1:18" ht="26.6" thickTop="1">
      <c r="A31" s="24"/>
      <c r="B31" s="44" t="s">
        <v>13</v>
      </c>
      <c r="C31" s="45"/>
      <c r="D31" s="46"/>
      <c r="E31" s="47"/>
      <c r="F31" s="48"/>
      <c r="G31" s="61"/>
      <c r="H31" s="62"/>
      <c r="I31" s="62"/>
      <c r="J31" s="60"/>
      <c r="Q31" s="2"/>
    </row>
    <row r="32" spans="1:18" ht="26.15">
      <c r="A32" s="24"/>
      <c r="B32" s="49" t="s">
        <v>1</v>
      </c>
      <c r="C32" s="37"/>
      <c r="D32" s="50" t="s">
        <v>4</v>
      </c>
      <c r="E32" s="37"/>
      <c r="F32" s="40"/>
      <c r="G32" s="93" t="s">
        <v>26</v>
      </c>
      <c r="H32" s="62"/>
      <c r="I32" s="62"/>
      <c r="J32" s="63"/>
      <c r="Q32" s="2"/>
    </row>
    <row r="33" spans="1:18" ht="26.6" thickBot="1">
      <c r="A33" s="25"/>
      <c r="B33" s="51">
        <v>3</v>
      </c>
      <c r="C33" s="52" t="s">
        <v>3</v>
      </c>
      <c r="D33" s="53">
        <v>1</v>
      </c>
      <c r="E33" s="52"/>
      <c r="F33" s="54"/>
      <c r="G33" s="61" t="s">
        <v>8</v>
      </c>
      <c r="H33" s="62" t="s">
        <v>2</v>
      </c>
      <c r="I33" s="101">
        <f>(D27-D28+D34)/D34</f>
        <v>5.666666666666667</v>
      </c>
      <c r="J33" s="63"/>
      <c r="Q33" s="2"/>
    </row>
    <row r="34" spans="1:18" ht="30" thickTop="1">
      <c r="A34" s="27" t="s">
        <v>10</v>
      </c>
      <c r="B34" s="55" t="s">
        <v>49</v>
      </c>
      <c r="C34" s="47" t="s">
        <v>2</v>
      </c>
      <c r="D34" s="18">
        <v>1.5</v>
      </c>
      <c r="E34" s="47" t="s">
        <v>67</v>
      </c>
      <c r="F34" s="48" t="s">
        <v>22</v>
      </c>
      <c r="G34" s="61" t="s">
        <v>18</v>
      </c>
      <c r="H34" s="62" t="s">
        <v>2</v>
      </c>
      <c r="I34" s="102">
        <f>D35*I33*I29*W9*W11*3600*24</f>
        <v>9.9853353344891026E-6</v>
      </c>
      <c r="J34" s="63" t="s">
        <v>69</v>
      </c>
    </row>
    <row r="35" spans="1:18" ht="26.15">
      <c r="A35" s="28"/>
      <c r="B35" s="36" t="s">
        <v>65</v>
      </c>
      <c r="C35" s="37" t="s">
        <v>2</v>
      </c>
      <c r="D35" s="56">
        <f>B12</f>
        <v>9.9999999999999995E-8</v>
      </c>
      <c r="E35" s="37" t="s">
        <v>5</v>
      </c>
      <c r="F35" s="40"/>
      <c r="G35" s="93" t="s">
        <v>6</v>
      </c>
      <c r="H35" s="62"/>
      <c r="I35" s="62"/>
      <c r="J35" s="63"/>
    </row>
    <row r="36" spans="1:18" ht="26.15">
      <c r="A36" s="28"/>
      <c r="B36" s="36" t="s">
        <v>6</v>
      </c>
      <c r="C36" s="37" t="s">
        <v>2</v>
      </c>
      <c r="D36" s="38">
        <v>0.15</v>
      </c>
      <c r="E36" s="37" t="s">
        <v>88</v>
      </c>
      <c r="F36" s="40" t="s">
        <v>22</v>
      </c>
      <c r="G36" s="61" t="s">
        <v>8</v>
      </c>
      <c r="H36" s="62" t="s">
        <v>2</v>
      </c>
      <c r="I36" s="103">
        <f>(D27-D28+D36/100)/(D36/100)</f>
        <v>4667.666666666667</v>
      </c>
      <c r="J36" s="63"/>
      <c r="M36" s="84"/>
      <c r="N36" s="84"/>
      <c r="O36" s="84"/>
      <c r="P36" s="84"/>
      <c r="Q36" s="84"/>
      <c r="R36" s="84"/>
    </row>
    <row r="37" spans="1:18" ht="30" thickBot="1">
      <c r="A37" s="29"/>
      <c r="B37" s="87" t="s">
        <v>65</v>
      </c>
      <c r="C37" s="52" t="s">
        <v>2</v>
      </c>
      <c r="D37" s="57">
        <f>B13</f>
        <v>9.9999999999999998E-13</v>
      </c>
      <c r="E37" s="52" t="s">
        <v>5</v>
      </c>
      <c r="F37" s="54"/>
      <c r="G37" s="64" t="s">
        <v>66</v>
      </c>
      <c r="H37" s="65" t="s">
        <v>2</v>
      </c>
      <c r="I37" s="97">
        <f>D37*I36*I29*W9*W11*3600*24</f>
        <v>8.2249794522853473E-8</v>
      </c>
      <c r="J37" s="63" t="s">
        <v>69</v>
      </c>
    </row>
    <row r="38" spans="1:18" ht="15.45" thickTop="1" thickBot="1"/>
    <row r="39" spans="1:18" ht="28.75" thickTop="1">
      <c r="B39" s="118"/>
      <c r="C39" s="119" t="s">
        <v>24</v>
      </c>
      <c r="D39" s="119"/>
      <c r="E39" s="120"/>
    </row>
    <row r="40" spans="1:18" ht="28.75" thickBot="1">
      <c r="B40" s="121"/>
      <c r="C40" s="122" t="s">
        <v>25</v>
      </c>
      <c r="D40" s="122"/>
      <c r="E40" s="123"/>
      <c r="F40" s="1"/>
      <c r="G40" s="1"/>
      <c r="H40" s="1"/>
      <c r="I40" s="1"/>
      <c r="J40" s="1"/>
    </row>
    <row r="41" spans="1:18" ht="15" thickTop="1"/>
    <row r="42" spans="1:18" ht="26.15">
      <c r="A42" s="91" t="s">
        <v>38</v>
      </c>
      <c r="B42" s="91"/>
      <c r="C42" s="91"/>
      <c r="D42" s="91"/>
      <c r="E42" s="91"/>
      <c r="F42" s="91"/>
    </row>
    <row r="43" spans="1:18" ht="20.6">
      <c r="A43" s="66"/>
      <c r="B43" s="66"/>
      <c r="C43" s="66"/>
      <c r="D43" s="66"/>
      <c r="E43" s="66"/>
      <c r="F43" s="66"/>
      <c r="G43" s="66"/>
      <c r="H43" s="66"/>
      <c r="I43" s="66"/>
      <c r="J43" s="66"/>
    </row>
    <row r="44" spans="1:18" ht="20.6">
      <c r="A44" s="67" t="s">
        <v>40</v>
      </c>
      <c r="B44" s="67"/>
      <c r="C44" s="67"/>
      <c r="D44" s="67"/>
      <c r="E44" s="67"/>
      <c r="F44" s="67"/>
      <c r="G44" s="67"/>
      <c r="H44" s="66"/>
      <c r="I44" s="66"/>
      <c r="J44" s="66"/>
    </row>
    <row r="45" spans="1:18" ht="20.149999999999999">
      <c r="A45" s="67" t="s">
        <v>51</v>
      </c>
      <c r="B45" s="67"/>
      <c r="C45" s="67"/>
      <c r="D45" s="67"/>
      <c r="E45" s="67"/>
      <c r="F45" s="67"/>
      <c r="G45" s="67"/>
      <c r="H45" s="67"/>
      <c r="I45" s="67"/>
      <c r="J45" s="67"/>
    </row>
    <row r="46" spans="1:18" ht="20.149999999999999">
      <c r="A46" s="67" t="s">
        <v>50</v>
      </c>
      <c r="B46" s="67"/>
      <c r="C46" s="67"/>
      <c r="D46" s="67"/>
      <c r="E46" s="67"/>
      <c r="F46" s="67"/>
      <c r="G46" s="67"/>
      <c r="H46" s="67"/>
      <c r="I46" s="67"/>
      <c r="J46" s="67"/>
    </row>
    <row r="47" spans="1:18" s="84" customFormat="1" ht="100.5" customHeight="1">
      <c r="A47" s="111" t="s">
        <v>41</v>
      </c>
      <c r="B47" s="111"/>
      <c r="C47" s="111"/>
      <c r="D47" s="111"/>
      <c r="E47" s="111"/>
      <c r="F47" s="111"/>
      <c r="G47" s="111"/>
      <c r="H47" s="83"/>
      <c r="I47" s="83"/>
      <c r="J47" s="83"/>
      <c r="M47"/>
      <c r="N47"/>
      <c r="O47"/>
      <c r="P47"/>
      <c r="Q47"/>
      <c r="R47"/>
    </row>
    <row r="48" spans="1:18" ht="20.6">
      <c r="A48" s="92"/>
      <c r="B48" s="92"/>
      <c r="C48" s="92"/>
      <c r="D48" s="92"/>
      <c r="E48" s="92"/>
      <c r="F48" s="92"/>
      <c r="G48" s="92"/>
      <c r="H48" s="66"/>
      <c r="I48" s="66"/>
      <c r="J48" s="66"/>
    </row>
    <row r="49" spans="1:10" ht="20.6">
      <c r="A49" s="92"/>
      <c r="B49" s="92"/>
      <c r="C49" s="92"/>
      <c r="D49" s="92"/>
      <c r="E49" s="92"/>
      <c r="F49" s="92"/>
      <c r="G49" s="92"/>
      <c r="H49" s="66"/>
      <c r="I49" s="66"/>
      <c r="J49" s="66"/>
    </row>
    <row r="50" spans="1:10" ht="21" customHeight="1">
      <c r="A50" s="92"/>
      <c r="B50" s="92"/>
      <c r="C50" s="92"/>
      <c r="D50" s="92"/>
      <c r="E50" s="92"/>
      <c r="F50" s="92"/>
      <c r="G50" s="92"/>
      <c r="H50" s="66"/>
      <c r="I50" s="66"/>
      <c r="J50" s="66"/>
    </row>
    <row r="51" spans="1:10" ht="20.6">
      <c r="A51" s="92"/>
      <c r="B51" s="92"/>
      <c r="C51" s="92"/>
      <c r="D51" s="92"/>
      <c r="E51" s="92"/>
      <c r="F51" s="92"/>
      <c r="G51" s="92"/>
      <c r="H51" s="66"/>
      <c r="I51" s="66"/>
      <c r="J51" s="66"/>
    </row>
    <row r="52" spans="1:10" ht="20.6">
      <c r="A52" s="92"/>
      <c r="B52" s="92"/>
      <c r="C52" s="92"/>
      <c r="D52" s="92"/>
      <c r="E52" s="92"/>
      <c r="F52" s="92"/>
      <c r="G52" s="92"/>
      <c r="H52" s="66"/>
      <c r="I52" s="66"/>
      <c r="J52" s="66"/>
    </row>
    <row r="53" spans="1:10" ht="20.6">
      <c r="A53" s="92"/>
      <c r="B53" s="92"/>
      <c r="C53" s="92"/>
      <c r="D53" s="92"/>
      <c r="E53" s="92"/>
      <c r="F53" s="92"/>
      <c r="G53" s="92"/>
      <c r="H53" s="66"/>
      <c r="I53" s="66"/>
      <c r="J53" s="66"/>
    </row>
    <row r="54" spans="1:10" ht="20.6">
      <c r="A54" s="92"/>
      <c r="B54" s="92"/>
      <c r="C54" s="92"/>
      <c r="D54" s="92"/>
      <c r="E54" s="92"/>
      <c r="F54" s="92"/>
      <c r="G54" s="92"/>
      <c r="H54" s="66"/>
      <c r="I54" s="66"/>
      <c r="J54" s="66"/>
    </row>
    <row r="55" spans="1:10" ht="20.6">
      <c r="A55" s="92"/>
      <c r="B55" s="92"/>
      <c r="C55" s="92"/>
      <c r="D55" s="92"/>
      <c r="E55" s="92"/>
      <c r="F55" s="92"/>
      <c r="G55" s="92"/>
      <c r="H55" s="66"/>
      <c r="I55" s="66"/>
      <c r="J55" s="66"/>
    </row>
  </sheetData>
  <mergeCells count="18">
    <mergeCell ref="A47:G47"/>
    <mergeCell ref="C17:D17"/>
    <mergeCell ref="C18:D18"/>
    <mergeCell ref="M8:R8"/>
    <mergeCell ref="M18:P18"/>
    <mergeCell ref="O19:R19"/>
    <mergeCell ref="O20:R20"/>
    <mergeCell ref="T8:X8"/>
    <mergeCell ref="C9:D9"/>
    <mergeCell ref="C15:D15"/>
    <mergeCell ref="A7:D7"/>
    <mergeCell ref="M7:R7"/>
    <mergeCell ref="C8:D8"/>
    <mergeCell ref="C10:D10"/>
    <mergeCell ref="C11:D11"/>
    <mergeCell ref="C12:D12"/>
    <mergeCell ref="C13:D13"/>
    <mergeCell ref="C14:D14"/>
  </mergeCell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Chen</dc:creator>
  <cp:lastModifiedBy>Stark, Timothy D</cp:lastModifiedBy>
  <dcterms:created xsi:type="dcterms:W3CDTF">2017-04-10T18:09:00Z</dcterms:created>
  <dcterms:modified xsi:type="dcterms:W3CDTF">2020-11-29T17:18:20Z</dcterms:modified>
</cp:coreProperties>
</file>